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18555" windowHeight="10740"/>
  </bookViews>
  <sheets>
    <sheet name="для работы по 12 мес." sheetId="1" r:id="rId1"/>
  </sheets>
  <definedNames>
    <definedName name="_xlnm.Print_Area" localSheetId="0">'для работы по 12 мес.'!$A$1:$M$122</definedName>
  </definedNames>
  <calcPr calcId="125725"/>
</workbook>
</file>

<file path=xl/calcChain.xml><?xml version="1.0" encoding="utf-8"?>
<calcChain xmlns="http://schemas.openxmlformats.org/spreadsheetml/2006/main">
  <c r="M115" i="1"/>
  <c r="L115"/>
  <c r="M114"/>
  <c r="L114"/>
  <c r="M113"/>
  <c r="L113"/>
  <c r="M112"/>
  <c r="L112"/>
  <c r="M111"/>
  <c r="L111"/>
  <c r="M109"/>
  <c r="L109"/>
  <c r="L10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L51"/>
  <c r="L52"/>
  <c r="L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65"/>
  <c r="M65"/>
  <c r="L66"/>
  <c r="M66"/>
  <c r="L67"/>
  <c r="M67"/>
  <c r="L68"/>
  <c r="M68"/>
  <c r="L69"/>
  <c r="M69"/>
  <c r="L70"/>
  <c r="M70"/>
  <c r="L71"/>
  <c r="M71"/>
  <c r="L72"/>
  <c r="M72"/>
  <c r="L73"/>
  <c r="M73"/>
  <c r="L74"/>
  <c r="M74"/>
  <c r="L75"/>
  <c r="M75"/>
  <c r="L76"/>
  <c r="M76"/>
  <c r="L77"/>
  <c r="M77"/>
  <c r="L78"/>
  <c r="M78"/>
  <c r="L79"/>
  <c r="M79"/>
  <c r="L80"/>
  <c r="M80"/>
  <c r="L81"/>
  <c r="M81"/>
  <c r="L82"/>
  <c r="M82"/>
  <c r="L83"/>
  <c r="M83"/>
  <c r="L84"/>
  <c r="M84"/>
  <c r="L85"/>
  <c r="M85"/>
  <c r="L86"/>
  <c r="M86"/>
  <c r="L87"/>
  <c r="M87"/>
  <c r="L88"/>
  <c r="M88"/>
  <c r="L89"/>
  <c r="M89"/>
  <c r="L90"/>
  <c r="M90"/>
  <c r="L91"/>
  <c r="M91"/>
  <c r="L92"/>
  <c r="M92"/>
  <c r="L93"/>
  <c r="M93"/>
  <c r="L94"/>
  <c r="M94"/>
  <c r="L95"/>
  <c r="M95"/>
  <c r="L96"/>
  <c r="M96"/>
  <c r="L97"/>
  <c r="M97"/>
  <c r="L98"/>
  <c r="M98"/>
  <c r="L99"/>
  <c r="M99"/>
  <c r="M100"/>
  <c r="L101"/>
  <c r="M101"/>
  <c r="L102"/>
  <c r="M102"/>
  <c r="L103"/>
  <c r="M103"/>
  <c r="L104"/>
  <c r="M104"/>
  <c r="L105"/>
  <c r="M105"/>
  <c r="L106"/>
  <c r="M106"/>
  <c r="M10"/>
  <c r="L10"/>
  <c r="H115"/>
  <c r="F115"/>
  <c r="E115"/>
  <c r="D115"/>
  <c r="H114"/>
  <c r="F114"/>
  <c r="E114"/>
  <c r="D114"/>
  <c r="H109"/>
  <c r="H113" s="1"/>
  <c r="F109"/>
  <c r="F113" s="1"/>
  <c r="E109"/>
  <c r="E113" s="1"/>
  <c r="D109"/>
  <c r="D113" s="1"/>
  <c r="H107"/>
  <c r="M107" s="1"/>
  <c r="F107"/>
  <c r="E107"/>
  <c r="J106"/>
  <c r="G106"/>
  <c r="K105"/>
  <c r="I105" s="1"/>
  <c r="G105"/>
  <c r="E105"/>
  <c r="I103"/>
  <c r="G103"/>
  <c r="G107" s="1"/>
  <c r="K102"/>
  <c r="I102"/>
  <c r="J100"/>
  <c r="J99"/>
  <c r="I97"/>
  <c r="I96"/>
  <c r="I95"/>
  <c r="J94"/>
  <c r="I94"/>
  <c r="G94"/>
  <c r="I93"/>
  <c r="I92"/>
  <c r="D92"/>
  <c r="I91"/>
  <c r="I90"/>
  <c r="I89"/>
  <c r="I88"/>
  <c r="I87"/>
  <c r="J86"/>
  <c r="I86" s="1"/>
  <c r="G86"/>
  <c r="I85"/>
  <c r="K84"/>
  <c r="H84"/>
  <c r="G84"/>
  <c r="F84"/>
  <c r="E84"/>
  <c r="D84"/>
  <c r="I83"/>
  <c r="J82"/>
  <c r="I82" s="1"/>
  <c r="G82"/>
  <c r="J81"/>
  <c r="I81"/>
  <c r="J80"/>
  <c r="I80"/>
  <c r="G80"/>
  <c r="I79"/>
  <c r="D79"/>
  <c r="I78"/>
  <c r="G78"/>
  <c r="D78"/>
  <c r="I77"/>
  <c r="D77"/>
  <c r="I76"/>
  <c r="G76"/>
  <c r="D76"/>
  <c r="J75"/>
  <c r="I75" s="1"/>
  <c r="G75"/>
  <c r="D75"/>
  <c r="I74"/>
  <c r="J73"/>
  <c r="I73"/>
  <c r="G73"/>
  <c r="J72"/>
  <c r="I72" s="1"/>
  <c r="G72"/>
  <c r="I71"/>
  <c r="G70"/>
  <c r="D70"/>
  <c r="J69"/>
  <c r="J70" s="1"/>
  <c r="K68"/>
  <c r="H68"/>
  <c r="G68"/>
  <c r="F68"/>
  <c r="E68"/>
  <c r="D68"/>
  <c r="K67"/>
  <c r="H67"/>
  <c r="G67"/>
  <c r="F67"/>
  <c r="E67"/>
  <c r="D67"/>
  <c r="K66"/>
  <c r="H66"/>
  <c r="G66"/>
  <c r="F66"/>
  <c r="E66"/>
  <c r="D66"/>
  <c r="I65"/>
  <c r="I64"/>
  <c r="J63"/>
  <c r="I63" s="1"/>
  <c r="G63"/>
  <c r="I62"/>
  <c r="G62"/>
  <c r="J61"/>
  <c r="I61" s="1"/>
  <c r="I60"/>
  <c r="G60"/>
  <c r="D60"/>
  <c r="I59"/>
  <c r="G59"/>
  <c r="D59"/>
  <c r="I58"/>
  <c r="D58"/>
  <c r="I57"/>
  <c r="D57"/>
  <c r="I56"/>
  <c r="D56"/>
  <c r="J55"/>
  <c r="I55" s="1"/>
  <c r="G55"/>
  <c r="F55"/>
  <c r="D55"/>
  <c r="K54"/>
  <c r="H54"/>
  <c r="G54"/>
  <c r="F54"/>
  <c r="E54"/>
  <c r="D54"/>
  <c r="I53"/>
  <c r="I52"/>
  <c r="I51"/>
  <c r="I50"/>
  <c r="I49"/>
  <c r="G49"/>
  <c r="I48"/>
  <c r="I47"/>
  <c r="K46"/>
  <c r="J46"/>
  <c r="I46"/>
  <c r="G46"/>
  <c r="I45"/>
  <c r="G45"/>
  <c r="D45"/>
  <c r="J44"/>
  <c r="I44" s="1"/>
  <c r="G44"/>
  <c r="D44"/>
  <c r="I43"/>
  <c r="D43"/>
  <c r="J42"/>
  <c r="I42" s="1"/>
  <c r="G42"/>
  <c r="F42"/>
  <c r="D42"/>
  <c r="I41"/>
  <c r="G41"/>
  <c r="I40"/>
  <c r="J39"/>
  <c r="I39" s="1"/>
  <c r="I38"/>
  <c r="D38"/>
  <c r="I37"/>
  <c r="G37"/>
  <c r="D37"/>
  <c r="J36"/>
  <c r="I36"/>
  <c r="G36"/>
  <c r="F36"/>
  <c r="D36"/>
  <c r="I35"/>
  <c r="I34"/>
  <c r="I33"/>
  <c r="I32"/>
  <c r="G32"/>
  <c r="J31"/>
  <c r="I31"/>
  <c r="H31"/>
  <c r="G31"/>
  <c r="F31"/>
  <c r="D31"/>
  <c r="J30"/>
  <c r="I30"/>
  <c r="G30"/>
  <c r="J29"/>
  <c r="I29" s="1"/>
  <c r="G29"/>
  <c r="I28"/>
  <c r="G28"/>
  <c r="I27"/>
  <c r="G27"/>
  <c r="I26"/>
  <c r="G26"/>
  <c r="D26"/>
  <c r="J25"/>
  <c r="I25"/>
  <c r="G25"/>
  <c r="D25"/>
  <c r="J24"/>
  <c r="I24"/>
  <c r="H24"/>
  <c r="G24"/>
  <c r="G21" s="1"/>
  <c r="G10" s="1"/>
  <c r="G99" s="1"/>
  <c r="F24"/>
  <c r="D24"/>
  <c r="I23"/>
  <c r="I22"/>
  <c r="K21"/>
  <c r="J21"/>
  <c r="H21"/>
  <c r="F21"/>
  <c r="E21"/>
  <c r="D21"/>
  <c r="I20"/>
  <c r="K19"/>
  <c r="J19"/>
  <c r="I19"/>
  <c r="H19"/>
  <c r="G19"/>
  <c r="F19"/>
  <c r="E19"/>
  <c r="D19"/>
  <c r="I18"/>
  <c r="G17"/>
  <c r="D17"/>
  <c r="D15" s="1"/>
  <c r="D10" s="1"/>
  <c r="D99" s="1"/>
  <c r="J16"/>
  <c r="J114" s="1"/>
  <c r="I16"/>
  <c r="K15"/>
  <c r="H15"/>
  <c r="G15"/>
  <c r="F15"/>
  <c r="E15"/>
  <c r="I14"/>
  <c r="I13"/>
  <c r="G13"/>
  <c r="J12"/>
  <c r="I12"/>
  <c r="G12"/>
  <c r="E12"/>
  <c r="K11"/>
  <c r="I11"/>
  <c r="H11"/>
  <c r="G11"/>
  <c r="F11"/>
  <c r="E11"/>
  <c r="D11"/>
  <c r="K10"/>
  <c r="H10"/>
  <c r="H99" s="1"/>
  <c r="H100" s="1"/>
  <c r="F10"/>
  <c r="F99" s="1"/>
  <c r="E10"/>
  <c r="E99" s="1"/>
  <c r="E124" l="1"/>
  <c r="E100"/>
  <c r="G124"/>
  <c r="G100"/>
  <c r="I54"/>
  <c r="D124"/>
  <c r="D102"/>
  <c r="F124"/>
  <c r="F100"/>
  <c r="I84"/>
  <c r="I69"/>
  <c r="K106"/>
  <c r="I106" s="1"/>
  <c r="L107"/>
  <c r="J113"/>
  <c r="J115"/>
  <c r="J17"/>
  <c r="I17" s="1"/>
  <c r="I21"/>
  <c r="I15" l="1"/>
  <c r="I70"/>
  <c r="I68"/>
  <c r="D107"/>
  <c r="E101"/>
  <c r="K99"/>
  <c r="K100" s="1"/>
  <c r="I67" l="1"/>
  <c r="I10"/>
  <c r="I66" l="1"/>
  <c r="I99" s="1"/>
  <c r="I100" l="1"/>
</calcChain>
</file>

<file path=xl/sharedStrings.xml><?xml version="1.0" encoding="utf-8"?>
<sst xmlns="http://schemas.openxmlformats.org/spreadsheetml/2006/main" count="326" uniqueCount="214">
  <si>
    <t>передача и распределение тепловой энергии</t>
  </si>
  <si>
    <t>№ п/п</t>
  </si>
  <si>
    <t>Наименование показателей</t>
  </si>
  <si>
    <t>Ед.изм.</t>
  </si>
  <si>
    <t>Предусмотрено в утвержденной ТС (01.10.2012г-30.09.2013г)</t>
  </si>
  <si>
    <t>ИСПОЛНЕНИЕ (факт за 1-ый  год реализации)</t>
  </si>
  <si>
    <t>Предусмотрено в утвержденной ТС (01.10.2013г-30.09.2014г)</t>
  </si>
  <si>
    <t>ИСПОЛНЕНИЕ (факт за 2-ой  год реализации)</t>
  </si>
  <si>
    <t>Предусмотрено в утвержденной ТС (01.10.2014г-30.09.2015г)</t>
  </si>
  <si>
    <t>Ожидаемое исполнение тарифсметы  3 год реализации, всего</t>
  </si>
  <si>
    <t>в том числе</t>
  </si>
  <si>
    <t>Отклонение</t>
  </si>
  <si>
    <t>план по бюджету (июль-сентябрь)</t>
  </si>
  <si>
    <t>тыс. тенге</t>
  </si>
  <si>
    <t>%</t>
  </si>
  <si>
    <t>I</t>
  </si>
  <si>
    <t>Затраты на производство товаров и предоставление услуг, всего, в т.ч.</t>
  </si>
  <si>
    <t>Материальные затраты, всего, в т.ч.</t>
  </si>
  <si>
    <t>1.1.</t>
  </si>
  <si>
    <t>Сырье и материалы</t>
  </si>
  <si>
    <t>- " -</t>
  </si>
  <si>
    <t>1.2.</t>
  </si>
  <si>
    <t>ГСМ</t>
  </si>
  <si>
    <t>1.3.</t>
  </si>
  <si>
    <t>Энергия</t>
  </si>
  <si>
    <t>2</t>
  </si>
  <si>
    <t>Расходы на оплату труда, всего, в т.ч.</t>
  </si>
  <si>
    <t>2.1</t>
  </si>
  <si>
    <t>Заработная плата производственного персонала</t>
  </si>
  <si>
    <t>2.2.</t>
  </si>
  <si>
    <t>Социальный налог</t>
  </si>
  <si>
    <t>3</t>
  </si>
  <si>
    <t>Амортизация</t>
  </si>
  <si>
    <t>4</t>
  </si>
  <si>
    <t>Ремонт, всего, в т.ч.</t>
  </si>
  <si>
    <t>4.1</t>
  </si>
  <si>
    <t>Капитальный ремонт, не приводящий к увеличению стоимости основных фондов</t>
  </si>
  <si>
    <t>5</t>
  </si>
  <si>
    <t>Услуги производственного характера</t>
  </si>
  <si>
    <t>5.1</t>
  </si>
  <si>
    <t>Услуги автотранспорта и механизмов</t>
  </si>
  <si>
    <t>5.2</t>
  </si>
  <si>
    <t>Услуги водоснабжения и канализации</t>
  </si>
  <si>
    <t>5.3</t>
  </si>
  <si>
    <t>Поверка приборов учета, защитных средств, электрооборудования, допуск бригады</t>
  </si>
  <si>
    <t>-</t>
  </si>
  <si>
    <t>поверка приборов учета</t>
  </si>
  <si>
    <t>поверка зашит средств и эл.оборуд., допуск бригады</t>
  </si>
  <si>
    <t>5.4</t>
  </si>
  <si>
    <t>Испытание тепловых сетей на тепловые потери</t>
  </si>
  <si>
    <t>5.5</t>
  </si>
  <si>
    <t>Топогеодезические работы</t>
  </si>
  <si>
    <t>5.6</t>
  </si>
  <si>
    <t>Замена асфальтобетонного покрытия</t>
  </si>
  <si>
    <t>5.7</t>
  </si>
  <si>
    <t>Услуги связи</t>
  </si>
  <si>
    <t>5.8</t>
  </si>
  <si>
    <t>Обслуживание и ремонт основных средств</t>
  </si>
  <si>
    <t xml:space="preserve"> Обслуживание, ремонт оргтехники</t>
  </si>
  <si>
    <t>Обслуживание, ремонт кондиционеров</t>
  </si>
  <si>
    <t>Ремонт и обслуживание аппаратуры связи</t>
  </si>
  <si>
    <t>5.9</t>
  </si>
  <si>
    <t>Информационное обслуживание</t>
  </si>
  <si>
    <t>5.10</t>
  </si>
  <si>
    <t>Ультразвуковой контроль сварных соединений, теплоизоляционные работы</t>
  </si>
  <si>
    <t>Ультразвуковой контроль сварных соединений</t>
  </si>
  <si>
    <t>теплоизоляционные работы</t>
  </si>
  <si>
    <t>5.11</t>
  </si>
  <si>
    <t>Расходы по экологии</t>
  </si>
  <si>
    <t>5.12</t>
  </si>
  <si>
    <t>Инспекционный аудит (СМК)</t>
  </si>
  <si>
    <t>5.13</t>
  </si>
  <si>
    <t>Демеркуризация ртутьсодержащих отходов</t>
  </si>
  <si>
    <t>5.14</t>
  </si>
  <si>
    <t>Ремонт теплотехнического, электрооборудования и кислородных балонов</t>
  </si>
  <si>
    <t>теплотехнического</t>
  </si>
  <si>
    <t>электрооборудования</t>
  </si>
  <si>
    <t>кислородных балонов</t>
  </si>
  <si>
    <t>5.15</t>
  </si>
  <si>
    <t>Ремонт, обследование  автокранов</t>
  </si>
  <si>
    <t>5.16</t>
  </si>
  <si>
    <t>Захоронение твердо-бытовых, строительных и производственных отходов</t>
  </si>
  <si>
    <t>5.17</t>
  </si>
  <si>
    <t>Услуги по противопожарной безопасности</t>
  </si>
  <si>
    <t>5.18</t>
  </si>
  <si>
    <t>Гидрометеорологические услуги</t>
  </si>
  <si>
    <t>5.19</t>
  </si>
  <si>
    <t>Аренда площади крыши</t>
  </si>
  <si>
    <t>5.20</t>
  </si>
  <si>
    <t>Услуги энергоаудита</t>
  </si>
  <si>
    <t>5.21</t>
  </si>
  <si>
    <t>Техническая инвентаризация</t>
  </si>
  <si>
    <t>5.22</t>
  </si>
  <si>
    <t>Радиомониторинг, обследование помещений</t>
  </si>
  <si>
    <t>6</t>
  </si>
  <si>
    <t>Прочие затраты всего, в т.ч.:</t>
  </si>
  <si>
    <t>6.1</t>
  </si>
  <si>
    <t>Охрана труда (медосмотр, спецодежда,  СИЗ, спецпитание, дезинфенцирующие средства)</t>
  </si>
  <si>
    <t>спец одежда и СИЗ</t>
  </si>
  <si>
    <t>потребность хозмыла</t>
  </si>
  <si>
    <t>потребность порошка</t>
  </si>
  <si>
    <t>медосмотр</t>
  </si>
  <si>
    <t>спецпитание</t>
  </si>
  <si>
    <t>6.2</t>
  </si>
  <si>
    <t>Обязательное страхование</t>
  </si>
  <si>
    <t>6.3</t>
  </si>
  <si>
    <t>Подготовка кадров</t>
  </si>
  <si>
    <t>6.4</t>
  </si>
  <si>
    <t>Командировочные расходы</t>
  </si>
  <si>
    <t>6.5</t>
  </si>
  <si>
    <t xml:space="preserve">Канцелярские товары </t>
  </si>
  <si>
    <t>6.6</t>
  </si>
  <si>
    <t>Бланочная продукция</t>
  </si>
  <si>
    <t>II</t>
  </si>
  <si>
    <t>Общие и административные расходы всего, в т.ч.</t>
  </si>
  <si>
    <t>7</t>
  </si>
  <si>
    <t>Общие и административные расходы, всего: в том числе:</t>
  </si>
  <si>
    <t>7.1</t>
  </si>
  <si>
    <t>Затраты на оплату труда</t>
  </si>
  <si>
    <t>7.1.1</t>
  </si>
  <si>
    <t>Заработная плата административного персонала</t>
  </si>
  <si>
    <t>7.1.2</t>
  </si>
  <si>
    <t>7.2</t>
  </si>
  <si>
    <t>7.3</t>
  </si>
  <si>
    <r>
      <t>Н</t>
    </r>
    <r>
      <rPr>
        <sz val="11"/>
        <rFont val="Times New Roman"/>
        <family val="1"/>
        <charset val="204"/>
      </rPr>
      <t xml:space="preserve">алоговые платежи и сборы </t>
    </r>
  </si>
  <si>
    <t>7.4</t>
  </si>
  <si>
    <t>Материалы</t>
  </si>
  <si>
    <t>7.5</t>
  </si>
  <si>
    <t>7.6</t>
  </si>
  <si>
    <t>Коммунальные услуги (энергия, водоснабжение, отвод сточных вод, вывоз мусора, дезинфекционные работы)</t>
  </si>
  <si>
    <t>энергия</t>
  </si>
  <si>
    <t>водоснабжение, отвод сточных вод</t>
  </si>
  <si>
    <t xml:space="preserve"> вывоз мусора</t>
  </si>
  <si>
    <t>дезинфекционные работы</t>
  </si>
  <si>
    <t>7.7</t>
  </si>
  <si>
    <t>7.8</t>
  </si>
  <si>
    <t>7.9</t>
  </si>
  <si>
    <t>Информационные, консультационные, аудиторские услуги</t>
  </si>
  <si>
    <t>7.10</t>
  </si>
  <si>
    <t>Услуги банка</t>
  </si>
  <si>
    <t>7.11</t>
  </si>
  <si>
    <t xml:space="preserve">Прочие расходы </t>
  </si>
  <si>
    <t>7.11.1</t>
  </si>
  <si>
    <t>Охрана объектов</t>
  </si>
  <si>
    <t>7.11.2</t>
  </si>
  <si>
    <t xml:space="preserve">Обслуживание, ремонт оргтехники </t>
  </si>
  <si>
    <t>7.11.3</t>
  </si>
  <si>
    <t xml:space="preserve">Проездные билеты                                    </t>
  </si>
  <si>
    <t>7.11.4</t>
  </si>
  <si>
    <t>Канцелярские товары</t>
  </si>
  <si>
    <t>7.11.5</t>
  </si>
  <si>
    <t>Периодическая печать</t>
  </si>
  <si>
    <t>7.11.6</t>
  </si>
  <si>
    <t>7.11.7</t>
  </si>
  <si>
    <t>Услуги типографии</t>
  </si>
  <si>
    <t>7.11.8</t>
  </si>
  <si>
    <t xml:space="preserve">Обязательное страхование </t>
  </si>
  <si>
    <t>7.11.9</t>
  </si>
  <si>
    <t>Хозяйственные товары</t>
  </si>
  <si>
    <t>7.11.10</t>
  </si>
  <si>
    <t>Содержание служебного автотранспорта</t>
  </si>
  <si>
    <t>7.11.11</t>
  </si>
  <si>
    <t xml:space="preserve"> Услуги почты</t>
  </si>
  <si>
    <t>7.11.12</t>
  </si>
  <si>
    <t>Нотариальные услуги</t>
  </si>
  <si>
    <t>7.11.13</t>
  </si>
  <si>
    <t>Спецпитание</t>
  </si>
  <si>
    <t>7.11.14</t>
  </si>
  <si>
    <t>Услуги энергоэкспертизы</t>
  </si>
  <si>
    <t>III</t>
  </si>
  <si>
    <t>Всего затрат на предоставление услуг</t>
  </si>
  <si>
    <t>IV</t>
  </si>
  <si>
    <t>Прибыль</t>
  </si>
  <si>
    <t>V</t>
  </si>
  <si>
    <t>Іске қосылған активтердің реттелетін базасы (АРБ) /Регулируемая база задействованных активов (РБА)</t>
  </si>
  <si>
    <t>VI</t>
  </si>
  <si>
    <t>Всего доходов</t>
  </si>
  <si>
    <t>VII</t>
  </si>
  <si>
    <t xml:space="preserve">Объем оказываемых услуг  </t>
  </si>
  <si>
    <t>Гкал</t>
  </si>
  <si>
    <t>VIII</t>
  </si>
  <si>
    <t>Нормативные технические потери</t>
  </si>
  <si>
    <t xml:space="preserve">% </t>
  </si>
  <si>
    <t>IX</t>
  </si>
  <si>
    <t>Тариф</t>
  </si>
  <si>
    <t>тенге/ Гкал</t>
  </si>
  <si>
    <t>Анықтамалы/Справочно:</t>
  </si>
  <si>
    <t>8</t>
  </si>
  <si>
    <t>Персоналдың орташа тізімдік саны Среднесписочная численность персонала,</t>
  </si>
  <si>
    <t>человек</t>
  </si>
  <si>
    <t>Оның ішінде / в том числе:</t>
  </si>
  <si>
    <t>8.1</t>
  </si>
  <si>
    <t>Өндірістік / производственного</t>
  </si>
  <si>
    <t>8.2</t>
  </si>
  <si>
    <t>Әкімшілік / административного</t>
  </si>
  <si>
    <t>9</t>
  </si>
  <si>
    <t>Орташа айлық жалақы, барлығы. о.і. Среднемесячная заработная плата, всего, в т.ч.</t>
  </si>
  <si>
    <t>тенге</t>
  </si>
  <si>
    <t>9.1</t>
  </si>
  <si>
    <t>Өндірістік  персоналдың / производственного персонала</t>
  </si>
  <si>
    <t>9.2</t>
  </si>
  <si>
    <t>Әкімшілік персоналдың/ административного персонала</t>
  </si>
  <si>
    <t>Капитальный ремонт, приводящий к увеличению стоимости основных средств</t>
  </si>
  <si>
    <t>Затраты, осуществляемые за счет прибыли (расшифровать)</t>
  </si>
  <si>
    <t>Текущий (планово-предупредительный) ремонт, выполняемый хозяйственным способом, всего, в т.ч.</t>
  </si>
  <si>
    <t>12.1</t>
  </si>
  <si>
    <t>материалы на ремонт</t>
  </si>
  <si>
    <t>12.2</t>
  </si>
  <si>
    <t>заработная плата</t>
  </si>
  <si>
    <t>12.3</t>
  </si>
  <si>
    <t>социальный налог</t>
  </si>
  <si>
    <t>Исполнении тарифной сметы на регулируемую услугу</t>
  </si>
  <si>
    <t xml:space="preserve">АО "Астана-Теплотранзит"  </t>
  </si>
  <si>
    <t>Факт на 01.07.2015 г.</t>
  </si>
</sst>
</file>

<file path=xl/styles.xml><?xml version="1.0" encoding="utf-8"?>
<styleSheet xmlns="http://schemas.openxmlformats.org/spreadsheetml/2006/main">
  <numFmts count="5">
    <numFmt numFmtId="164" formatCode="#,##0;[Red]\-#,##0"/>
    <numFmt numFmtId="165" formatCode="#,##0_р_."/>
    <numFmt numFmtId="166" formatCode="#,##0.0;[Red]\-#,##0.0"/>
    <numFmt numFmtId="167" formatCode="#,##0.0"/>
    <numFmt numFmtId="168" formatCode="#,##0.00000;[Red]\-#,##0.00000"/>
  </numFmts>
  <fonts count="2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5" fillId="0" borderId="0"/>
  </cellStyleXfs>
  <cellXfs count="9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3" xfId="0" applyFont="1" applyFill="1" applyBorder="1" applyAlignment="1">
      <alignment vertical="center" wrapText="1"/>
    </xf>
    <xf numFmtId="0" fontId="9" fillId="0" borderId="0" xfId="0" applyFont="1" applyFill="1"/>
    <xf numFmtId="0" fontId="10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4" fillId="2" borderId="0" xfId="0" applyFont="1" applyFill="1"/>
    <xf numFmtId="4" fontId="1" fillId="0" borderId="0" xfId="0" applyNumberFormat="1" applyFont="1" applyFill="1"/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22" fillId="3" borderId="0" xfId="0" applyFont="1" applyFill="1"/>
    <xf numFmtId="164" fontId="9" fillId="0" borderId="0" xfId="0" applyNumberFormat="1" applyFont="1" applyFill="1"/>
    <xf numFmtId="3" fontId="15" fillId="0" borderId="3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164" fontId="17" fillId="4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2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3" fontId="3" fillId="0" borderId="0" xfId="0" applyNumberFormat="1" applyFont="1" applyFill="1"/>
    <xf numFmtId="164" fontId="1" fillId="0" borderId="0" xfId="0" applyNumberFormat="1" applyFont="1" applyFill="1"/>
    <xf numFmtId="164" fontId="3" fillId="0" borderId="0" xfId="0" applyNumberFormat="1" applyFont="1" applyFill="1"/>
    <xf numFmtId="0" fontId="14" fillId="0" borderId="0" xfId="0" applyFont="1" applyFill="1" applyAlignment="1">
      <alignment horizontal="right"/>
    </xf>
    <xf numFmtId="168" fontId="1" fillId="0" borderId="0" xfId="0" applyNumberFormat="1" applyFont="1" applyFill="1"/>
    <xf numFmtId="1" fontId="1" fillId="0" borderId="0" xfId="0" applyNumberFormat="1" applyFont="1" applyFill="1"/>
    <xf numFmtId="2" fontId="1" fillId="0" borderId="0" xfId="0" applyNumberFormat="1" applyFont="1" applyFill="1"/>
    <xf numFmtId="1" fontId="3" fillId="0" borderId="0" xfId="0" applyNumberFormat="1" applyFont="1" applyFill="1"/>
    <xf numFmtId="0" fontId="4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135"/>
  <sheetViews>
    <sheetView tabSelected="1" view="pageBreakPreview" topLeftCell="A105" zoomScaleNormal="70" zoomScaleSheetLayoutView="100" workbookViewId="0">
      <selection activeCell="J7" sqref="J7:J9"/>
    </sheetView>
  </sheetViews>
  <sheetFormatPr defaultRowHeight="15.75"/>
  <cols>
    <col min="1" max="1" width="7.85546875" style="79" customWidth="1"/>
    <col min="2" max="2" width="42.85546875" style="2" customWidth="1"/>
    <col min="3" max="3" width="7.85546875" style="1" customWidth="1"/>
    <col min="4" max="5" width="13.140625" style="2" hidden="1" customWidth="1"/>
    <col min="6" max="6" width="16.85546875" style="2" hidden="1" customWidth="1"/>
    <col min="7" max="7" width="15.7109375" style="2" hidden="1" customWidth="1"/>
    <col min="8" max="8" width="13.85546875" style="2" customWidth="1"/>
    <col min="9" max="9" width="13.85546875" style="2" hidden="1" customWidth="1"/>
    <col min="10" max="10" width="13.85546875" style="2" customWidth="1"/>
    <col min="11" max="11" width="13.85546875" style="2" hidden="1" customWidth="1"/>
    <col min="12" max="12" width="13.85546875" style="3" customWidth="1"/>
    <col min="13" max="13" width="13.85546875" style="2" customWidth="1"/>
    <col min="14" max="14" width="7.85546875" style="4" customWidth="1"/>
    <col min="15" max="15" width="9.140625" style="1"/>
    <col min="16" max="16384" width="9.140625" style="2"/>
  </cols>
  <sheetData>
    <row r="1" spans="1:15">
      <c r="A1" s="97"/>
      <c r="B1" s="97"/>
    </row>
    <row r="3" spans="1:15">
      <c r="A3" s="98" t="s">
        <v>211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5">
      <c r="A5" s="98" t="s">
        <v>212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5" s="9" customFormat="1" ht="18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5"/>
      <c r="N6" s="7"/>
      <c r="O6" s="8"/>
    </row>
    <row r="7" spans="1:15" s="12" customFormat="1" ht="26.25" customHeight="1">
      <c r="A7" s="89" t="s">
        <v>1</v>
      </c>
      <c r="B7" s="89" t="s">
        <v>2</v>
      </c>
      <c r="C7" s="89" t="s">
        <v>3</v>
      </c>
      <c r="D7" s="89" t="s">
        <v>4</v>
      </c>
      <c r="E7" s="89" t="s">
        <v>5</v>
      </c>
      <c r="F7" s="89" t="s">
        <v>6</v>
      </c>
      <c r="G7" s="89" t="s">
        <v>7</v>
      </c>
      <c r="H7" s="90" t="s">
        <v>8</v>
      </c>
      <c r="I7" s="89" t="s">
        <v>9</v>
      </c>
      <c r="J7" s="89" t="s">
        <v>213</v>
      </c>
      <c r="K7" s="10" t="s">
        <v>10</v>
      </c>
      <c r="L7" s="93" t="s">
        <v>11</v>
      </c>
      <c r="M7" s="94"/>
      <c r="N7" s="11"/>
    </row>
    <row r="8" spans="1:15" s="12" customFormat="1" ht="15.75" hidden="1" customHeight="1">
      <c r="A8" s="89"/>
      <c r="B8" s="89"/>
      <c r="C8" s="89"/>
      <c r="D8" s="89"/>
      <c r="E8" s="89"/>
      <c r="F8" s="89"/>
      <c r="G8" s="89"/>
      <c r="H8" s="91"/>
      <c r="I8" s="89"/>
      <c r="J8" s="89"/>
      <c r="K8" s="13"/>
      <c r="L8" s="14"/>
      <c r="M8" s="13"/>
      <c r="N8" s="11"/>
    </row>
    <row r="9" spans="1:15" s="12" customFormat="1" ht="21">
      <c r="A9" s="89"/>
      <c r="B9" s="89"/>
      <c r="C9" s="89"/>
      <c r="D9" s="89"/>
      <c r="E9" s="89"/>
      <c r="F9" s="89"/>
      <c r="G9" s="89"/>
      <c r="H9" s="92"/>
      <c r="I9" s="89"/>
      <c r="J9" s="89"/>
      <c r="K9" s="15" t="s">
        <v>12</v>
      </c>
      <c r="L9" s="14" t="s">
        <v>13</v>
      </c>
      <c r="M9" s="13" t="s">
        <v>14</v>
      </c>
      <c r="N9" s="11"/>
    </row>
    <row r="10" spans="1:15" s="20" customFormat="1" ht="28.5">
      <c r="A10" s="16" t="s">
        <v>15</v>
      </c>
      <c r="B10" s="17" t="s">
        <v>16</v>
      </c>
      <c r="C10" s="13" t="s">
        <v>13</v>
      </c>
      <c r="D10" s="18">
        <f>D11+D15+D18+D19+D21+D54</f>
        <v>2205357.8370372998</v>
      </c>
      <c r="E10" s="18" t="e">
        <f>E11+E15+E18+E19+E21+E54</f>
        <v>#REF!</v>
      </c>
      <c r="F10" s="18">
        <f t="shared" ref="F10" si="0">F11+F15+F18+F19+F21+F54</f>
        <v>2567445</v>
      </c>
      <c r="G10" s="18" t="e">
        <f>ROUND(G11+G15+G18+G19+G21+G54,0)</f>
        <v>#REF!</v>
      </c>
      <c r="H10" s="18">
        <f>H11+H15+H18+H19+H21+H54</f>
        <v>2710757</v>
      </c>
      <c r="I10" s="18">
        <f>I11+I15+I18+I19+I21+I54</f>
        <v>3062136.8189000003</v>
      </c>
      <c r="J10" s="18">
        <v>1528136.0907999999</v>
      </c>
      <c r="K10" s="18">
        <f>K11+K15+K18+K19+K21+K54</f>
        <v>791699.5</v>
      </c>
      <c r="L10" s="19">
        <f>J10-H10</f>
        <v>-1182620.9092000001</v>
      </c>
      <c r="M10" s="19">
        <f>J10/H10*100</f>
        <v>56.373038630906414</v>
      </c>
      <c r="N10" s="11"/>
      <c r="O10" s="12"/>
    </row>
    <row r="11" spans="1:15" s="20" customFormat="1" ht="21">
      <c r="A11" s="16">
        <v>1</v>
      </c>
      <c r="B11" s="17" t="s">
        <v>17</v>
      </c>
      <c r="C11" s="13" t="s">
        <v>13</v>
      </c>
      <c r="D11" s="18">
        <f t="shared" ref="D11:F11" si="1">D12+D13+D14</f>
        <v>572626.4</v>
      </c>
      <c r="E11" s="18">
        <f t="shared" si="1"/>
        <v>527143.60918999999</v>
      </c>
      <c r="F11" s="18">
        <f t="shared" si="1"/>
        <v>622599</v>
      </c>
      <c r="G11" s="18">
        <f>ROUND(G12+G13+G14,0)</f>
        <v>592532</v>
      </c>
      <c r="H11" s="18">
        <f>H12+H13+H14</f>
        <v>651061</v>
      </c>
      <c r="I11" s="18">
        <f>I12+I13+I14</f>
        <v>625984.61199999996</v>
      </c>
      <c r="J11" s="19">
        <v>397098.804</v>
      </c>
      <c r="K11" s="18">
        <f>K12+K13+K14</f>
        <v>124104.7</v>
      </c>
      <c r="L11" s="19">
        <f t="shared" ref="L11:L74" si="2">J11-H11</f>
        <v>-253962.196</v>
      </c>
      <c r="M11" s="19">
        <f t="shared" ref="M11:M74" si="3">J11/H11*100</f>
        <v>60.992565059187996</v>
      </c>
      <c r="N11" s="11"/>
      <c r="O11" s="12"/>
    </row>
    <row r="12" spans="1:15" ht="15.75" customHeight="1">
      <c r="A12" s="21" t="s">
        <v>18</v>
      </c>
      <c r="B12" s="22" t="s">
        <v>19</v>
      </c>
      <c r="C12" s="23" t="s">
        <v>20</v>
      </c>
      <c r="D12" s="24">
        <v>207271.3</v>
      </c>
      <c r="E12" s="25">
        <f>210798+0.68919</f>
        <v>210798.68919</v>
      </c>
      <c r="F12" s="26">
        <v>221780</v>
      </c>
      <c r="G12" s="26">
        <f>210295.132+1.73+4479.091+98.09+6201.797+1.682+111.664+837.417+504.625</f>
        <v>222531.228</v>
      </c>
      <c r="H12" s="27">
        <v>237305</v>
      </c>
      <c r="I12" s="27">
        <f>J12+K12</f>
        <v>226004.717</v>
      </c>
      <c r="J12" s="27">
        <f>132370.723+224.184+589.098+506.012</f>
        <v>133690.01699999999</v>
      </c>
      <c r="K12" s="27">
        <v>92314.7</v>
      </c>
      <c r="L12" s="28">
        <f t="shared" si="2"/>
        <v>-103614.98300000001</v>
      </c>
      <c r="M12" s="28">
        <f t="shared" si="3"/>
        <v>56.336788942500164</v>
      </c>
    </row>
    <row r="13" spans="1:15" ht="13.5" customHeight="1">
      <c r="A13" s="21" t="s">
        <v>21</v>
      </c>
      <c r="B13" s="22" t="s">
        <v>22</v>
      </c>
      <c r="C13" s="23" t="s">
        <v>20</v>
      </c>
      <c r="D13" s="24">
        <v>71714.100000000006</v>
      </c>
      <c r="E13" s="25">
        <v>65194.91</v>
      </c>
      <c r="F13" s="26">
        <v>76734</v>
      </c>
      <c r="G13" s="26">
        <f>57841.79522+8241.95126</f>
        <v>66083.746480000002</v>
      </c>
      <c r="H13" s="27">
        <v>82105</v>
      </c>
      <c r="I13" s="27">
        <f t="shared" ref="I13:I65" si="4">J13+K13</f>
        <v>63221.211000000003</v>
      </c>
      <c r="J13" s="27">
        <v>48962.211000000003</v>
      </c>
      <c r="K13" s="27">
        <v>14259</v>
      </c>
      <c r="L13" s="28">
        <f t="shared" si="2"/>
        <v>-33142.788999999997</v>
      </c>
      <c r="M13" s="28">
        <f t="shared" si="3"/>
        <v>59.633653248888621</v>
      </c>
    </row>
    <row r="14" spans="1:15" ht="14.25" customHeight="1">
      <c r="A14" s="21" t="s">
        <v>23</v>
      </c>
      <c r="B14" s="22" t="s">
        <v>24</v>
      </c>
      <c r="C14" s="23" t="s">
        <v>20</v>
      </c>
      <c r="D14" s="24">
        <v>293641</v>
      </c>
      <c r="E14" s="25">
        <v>251150.01</v>
      </c>
      <c r="F14" s="26">
        <v>324085</v>
      </c>
      <c r="G14" s="26">
        <v>303917.18289</v>
      </c>
      <c r="H14" s="27">
        <v>331651</v>
      </c>
      <c r="I14" s="27">
        <f>J14+K14</f>
        <v>336758.68400000001</v>
      </c>
      <c r="J14" s="27">
        <v>319227.68400000001</v>
      </c>
      <c r="K14" s="28">
        <v>17531</v>
      </c>
      <c r="L14" s="28">
        <f t="shared" si="2"/>
        <v>-12423.315999999992</v>
      </c>
      <c r="M14" s="28">
        <f t="shared" si="3"/>
        <v>96.25409964088756</v>
      </c>
    </row>
    <row r="15" spans="1:15" s="20" customFormat="1" ht="17.25" customHeight="1">
      <c r="A15" s="29" t="s">
        <v>25</v>
      </c>
      <c r="B15" s="17" t="s">
        <v>26</v>
      </c>
      <c r="C15" s="13" t="s">
        <v>20</v>
      </c>
      <c r="D15" s="18">
        <f t="shared" ref="D15:K15" si="5">D16+D17</f>
        <v>598063.63703730004</v>
      </c>
      <c r="E15" s="18">
        <f t="shared" si="5"/>
        <v>808547.4</v>
      </c>
      <c r="F15" s="18">
        <f t="shared" si="5"/>
        <v>645909</v>
      </c>
      <c r="G15" s="18">
        <f>ROUND(G16+G17,0)</f>
        <v>1003709</v>
      </c>
      <c r="H15" s="18">
        <f t="shared" si="5"/>
        <v>697581</v>
      </c>
      <c r="I15" s="18">
        <f t="shared" si="5"/>
        <v>1072035.9689</v>
      </c>
      <c r="J15" s="18">
        <v>538711.33680000005</v>
      </c>
      <c r="K15" s="18">
        <f t="shared" si="5"/>
        <v>272798</v>
      </c>
      <c r="L15" s="19">
        <f t="shared" si="2"/>
        <v>-158869.66319999995</v>
      </c>
      <c r="M15" s="19">
        <f t="shared" si="3"/>
        <v>77.225632120140901</v>
      </c>
      <c r="N15" s="11"/>
      <c r="O15" s="12"/>
    </row>
    <row r="16" spans="1:15" ht="18" customHeight="1">
      <c r="A16" s="21" t="s">
        <v>27</v>
      </c>
      <c r="B16" s="22" t="s">
        <v>28</v>
      </c>
      <c r="C16" s="23" t="s">
        <v>20</v>
      </c>
      <c r="D16" s="24">
        <v>544188.9327</v>
      </c>
      <c r="E16" s="25">
        <v>735712</v>
      </c>
      <c r="F16" s="26">
        <v>587724</v>
      </c>
      <c r="G16" s="26">
        <v>913293.4</v>
      </c>
      <c r="H16" s="27">
        <v>634742</v>
      </c>
      <c r="I16" s="27">
        <f t="shared" si="4"/>
        <v>975239.1</v>
      </c>
      <c r="J16" s="27">
        <f>86386.5+83849.2+83030.6+80341.8+80343.4+78113.3+80126.4+72728.8+82321.1</f>
        <v>727241.1</v>
      </c>
      <c r="K16" s="27">
        <v>247998</v>
      </c>
      <c r="L16" s="28">
        <f t="shared" si="2"/>
        <v>92499.099999999977</v>
      </c>
      <c r="M16" s="28">
        <f t="shared" si="3"/>
        <v>114.57270828147499</v>
      </c>
    </row>
    <row r="17" spans="1:16">
      <c r="A17" s="21" t="s">
        <v>29</v>
      </c>
      <c r="B17" s="22" t="s">
        <v>30</v>
      </c>
      <c r="C17" s="23" t="s">
        <v>20</v>
      </c>
      <c r="D17" s="24">
        <f>(D16-D16*0.1)*0.11</f>
        <v>53874.704337299998</v>
      </c>
      <c r="E17" s="25">
        <v>72835.399999999994</v>
      </c>
      <c r="F17" s="26">
        <v>58185</v>
      </c>
      <c r="G17" s="30">
        <f>G16*9.9/100</f>
        <v>90416.046600000001</v>
      </c>
      <c r="H17" s="27">
        <v>62839</v>
      </c>
      <c r="I17" s="27">
        <f t="shared" si="4"/>
        <v>96796.868900000001</v>
      </c>
      <c r="J17" s="27">
        <f>J16*9.9/100</f>
        <v>71996.868900000001</v>
      </c>
      <c r="K17" s="27">
        <v>24800</v>
      </c>
      <c r="L17" s="28">
        <f t="shared" si="2"/>
        <v>9157.8689000000013</v>
      </c>
      <c r="M17" s="28">
        <f t="shared" si="3"/>
        <v>114.57354334091885</v>
      </c>
    </row>
    <row r="18" spans="1:16" s="36" customFormat="1">
      <c r="A18" s="29" t="s">
        <v>31</v>
      </c>
      <c r="B18" s="17" t="s">
        <v>32</v>
      </c>
      <c r="C18" s="13" t="s">
        <v>20</v>
      </c>
      <c r="D18" s="31">
        <v>741968</v>
      </c>
      <c r="E18" s="32">
        <v>782070.72</v>
      </c>
      <c r="F18" s="33">
        <v>1026575</v>
      </c>
      <c r="G18" s="32">
        <v>1115815.78</v>
      </c>
      <c r="H18" s="18">
        <v>1067297</v>
      </c>
      <c r="I18" s="18">
        <f t="shared" si="4"/>
        <v>1065572.084</v>
      </c>
      <c r="J18" s="18">
        <v>797806.08400000003</v>
      </c>
      <c r="K18" s="18">
        <v>267766</v>
      </c>
      <c r="L18" s="19">
        <f t="shared" si="2"/>
        <v>-269490.91599999997</v>
      </c>
      <c r="M18" s="19">
        <f t="shared" si="3"/>
        <v>74.750147709587864</v>
      </c>
      <c r="N18" s="34"/>
      <c r="O18" s="35"/>
    </row>
    <row r="19" spans="1:16" s="20" customFormat="1">
      <c r="A19" s="29" t="s">
        <v>33</v>
      </c>
      <c r="B19" s="17" t="s">
        <v>34</v>
      </c>
      <c r="C19" s="13" t="s">
        <v>20</v>
      </c>
      <c r="D19" s="18">
        <f t="shared" ref="D19:F19" si="6">D20</f>
        <v>195776.8</v>
      </c>
      <c r="E19" s="18">
        <f t="shared" si="6"/>
        <v>203936.36</v>
      </c>
      <c r="F19" s="18">
        <f t="shared" si="6"/>
        <v>168695</v>
      </c>
      <c r="G19" s="18">
        <f>G20</f>
        <v>168710.85639999999</v>
      </c>
      <c r="H19" s="18">
        <f>H20</f>
        <v>188448</v>
      </c>
      <c r="I19" s="18">
        <f>I20</f>
        <v>179474.565</v>
      </c>
      <c r="J19" s="18">
        <f>J20</f>
        <v>86378.565000000002</v>
      </c>
      <c r="K19" s="18">
        <f>K20</f>
        <v>93096</v>
      </c>
      <c r="L19" s="19">
        <f t="shared" si="2"/>
        <v>-102069.435</v>
      </c>
      <c r="M19" s="19">
        <f t="shared" si="3"/>
        <v>45.83681705298013</v>
      </c>
      <c r="N19" s="11"/>
      <c r="O19" s="12"/>
    </row>
    <row r="20" spans="1:16" ht="31.5" customHeight="1">
      <c r="A20" s="21" t="s">
        <v>35</v>
      </c>
      <c r="B20" s="22" t="s">
        <v>36</v>
      </c>
      <c r="C20" s="23" t="s">
        <v>20</v>
      </c>
      <c r="D20" s="24">
        <v>195776.8</v>
      </c>
      <c r="E20" s="24">
        <v>203936.36</v>
      </c>
      <c r="F20" s="24">
        <v>168695</v>
      </c>
      <c r="G20" s="24">
        <v>168710.85639999999</v>
      </c>
      <c r="H20" s="27">
        <v>188448</v>
      </c>
      <c r="I20" s="27">
        <f t="shared" si="4"/>
        <v>179474.565</v>
      </c>
      <c r="J20" s="27">
        <v>86378.565000000002</v>
      </c>
      <c r="K20" s="27">
        <v>93096</v>
      </c>
      <c r="L20" s="28">
        <f t="shared" si="2"/>
        <v>-102069.435</v>
      </c>
      <c r="M20" s="28">
        <f t="shared" si="3"/>
        <v>45.83681705298013</v>
      </c>
    </row>
    <row r="21" spans="1:16" s="20" customFormat="1">
      <c r="A21" s="29" t="s">
        <v>37</v>
      </c>
      <c r="B21" s="17" t="s">
        <v>38</v>
      </c>
      <c r="C21" s="13" t="s">
        <v>20</v>
      </c>
      <c r="D21" s="32">
        <f>D22+D23+D24+D27+D28+D29+D30+D32+D35+D36+D33+D39+D40+D41+D34+D42+D46+D47+D48+D49</f>
        <v>74492</v>
      </c>
      <c r="E21" s="32">
        <f>E22+E23+E24+E27+E28+E29+E30+E32+E35+E36+E33+E39+E40+E41+E34+E42+E46+E47+E48+E49+E31</f>
        <v>75952.91</v>
      </c>
      <c r="F21" s="32">
        <f t="shared" ref="F21" si="7">F22+F23+F24+F27+F28+F29+F30+F31+F35+F36+F39+F40+F41+F42+F46+F47+F48+F49</f>
        <v>79665</v>
      </c>
      <c r="G21" s="32">
        <f>G22+G23+G24+G27+G28+G29+G30+G31+G35+G36+G39+G40+G41+G42+G46+G47+G48+G49</f>
        <v>71481.891319999995</v>
      </c>
      <c r="H21" s="32">
        <f>H22+H23+H24+H27+H28+H29+H30+H31+H35+H36+H39+H40+H41+H42+H46+H47+H48+H49</f>
        <v>80688</v>
      </c>
      <c r="I21" s="32">
        <f>I22+I23+I24+I27+I28+I29+I30+I31+I35+I36+I39+I40+I41+I42+I46+I47+I48+I49+I50+I51+I52+I53</f>
        <v>88453.483999999968</v>
      </c>
      <c r="J21" s="32">
        <f t="shared" ref="J21:K21" si="8">J22+J23+J24+J27+J28+J29+J30+J31+J35+J36+J39+J40+J41+J42+J46+J47+J48+J49+J50+J51+J52+J53</f>
        <v>62095.483999999989</v>
      </c>
      <c r="K21" s="32">
        <f t="shared" si="8"/>
        <v>26358</v>
      </c>
      <c r="L21" s="19">
        <f t="shared" si="2"/>
        <v>-18592.516000000011</v>
      </c>
      <c r="M21" s="19">
        <f t="shared" si="3"/>
        <v>76.957520325203248</v>
      </c>
      <c r="N21" s="11"/>
      <c r="O21" s="12"/>
    </row>
    <row r="22" spans="1:16">
      <c r="A22" s="21" t="s">
        <v>39</v>
      </c>
      <c r="B22" s="22" t="s">
        <v>40</v>
      </c>
      <c r="C22" s="23" t="s">
        <v>20</v>
      </c>
      <c r="D22" s="24">
        <v>23663</v>
      </c>
      <c r="E22" s="25">
        <v>25303.09</v>
      </c>
      <c r="F22" s="26">
        <v>25319</v>
      </c>
      <c r="G22" s="26">
        <v>18234.575140000001</v>
      </c>
      <c r="H22" s="27">
        <v>27092</v>
      </c>
      <c r="I22" s="27">
        <f t="shared" si="4"/>
        <v>13847.638000000001</v>
      </c>
      <c r="J22" s="27">
        <v>9604.6380000000008</v>
      </c>
      <c r="K22" s="27">
        <v>4243</v>
      </c>
      <c r="L22" s="28">
        <f t="shared" si="2"/>
        <v>-17487.362000000001</v>
      </c>
      <c r="M22" s="28">
        <f t="shared" si="3"/>
        <v>35.451934150302677</v>
      </c>
    </row>
    <row r="23" spans="1:16">
      <c r="A23" s="21" t="s">
        <v>41</v>
      </c>
      <c r="B23" s="22" t="s">
        <v>42</v>
      </c>
      <c r="C23" s="23" t="s">
        <v>20</v>
      </c>
      <c r="D23" s="24">
        <v>12144</v>
      </c>
      <c r="E23" s="25">
        <v>13195.64</v>
      </c>
      <c r="F23" s="26">
        <v>14481</v>
      </c>
      <c r="G23" s="26">
        <v>17803.430609999999</v>
      </c>
      <c r="H23" s="27">
        <v>14481</v>
      </c>
      <c r="I23" s="27">
        <f t="shared" si="4"/>
        <v>15707.481</v>
      </c>
      <c r="J23" s="27">
        <v>11914.481</v>
      </c>
      <c r="K23" s="27">
        <v>3793</v>
      </c>
      <c r="L23" s="28">
        <f t="shared" si="2"/>
        <v>-2566.5190000000002</v>
      </c>
      <c r="M23" s="28">
        <f t="shared" si="3"/>
        <v>82.276645259305297</v>
      </c>
      <c r="P23" s="37"/>
    </row>
    <row r="24" spans="1:16" ht="30">
      <c r="A24" s="21" t="s">
        <v>43</v>
      </c>
      <c r="B24" s="22" t="s">
        <v>44</v>
      </c>
      <c r="C24" s="23" t="s">
        <v>20</v>
      </c>
      <c r="D24" s="24">
        <f>D25+D26</f>
        <v>1468</v>
      </c>
      <c r="E24" s="25">
        <v>1613.17</v>
      </c>
      <c r="F24" s="26">
        <f t="shared" ref="F24" si="9">F25+F26</f>
        <v>1572</v>
      </c>
      <c r="G24" s="26">
        <f>G25+G26</f>
        <v>2343.8930300000002</v>
      </c>
      <c r="H24" s="27">
        <f>H25+H26</f>
        <v>1681</v>
      </c>
      <c r="I24" s="27">
        <f t="shared" si="4"/>
        <v>5649.6469999999999</v>
      </c>
      <c r="J24" s="27">
        <f>J25+J26</f>
        <v>3045.6469999999999</v>
      </c>
      <c r="K24" s="27">
        <v>2604</v>
      </c>
      <c r="L24" s="28">
        <f t="shared" si="2"/>
        <v>1364.6469999999999</v>
      </c>
      <c r="M24" s="28">
        <f t="shared" si="3"/>
        <v>181.18066627007735</v>
      </c>
    </row>
    <row r="25" spans="1:16" s="46" customFormat="1" ht="20.25" hidden="1" customHeight="1">
      <c r="A25" s="38" t="s">
        <v>45</v>
      </c>
      <c r="B25" s="39" t="s">
        <v>46</v>
      </c>
      <c r="C25" s="40"/>
      <c r="D25" s="41">
        <f>1089</f>
        <v>1089</v>
      </c>
      <c r="E25" s="42"/>
      <c r="F25" s="43">
        <v>1166</v>
      </c>
      <c r="G25" s="43">
        <f>1240.179+107.14286+550+120</f>
        <v>2017.32186</v>
      </c>
      <c r="H25" s="44">
        <v>1247</v>
      </c>
      <c r="I25" s="27">
        <f t="shared" si="4"/>
        <v>2462.0360000000001</v>
      </c>
      <c r="J25" s="44">
        <f>2462.036</f>
        <v>2462.0360000000001</v>
      </c>
      <c r="K25" s="44"/>
      <c r="L25" s="28">
        <f t="shared" si="2"/>
        <v>1215.0360000000001</v>
      </c>
      <c r="M25" s="28">
        <f t="shared" si="3"/>
        <v>197.43672814755413</v>
      </c>
      <c r="N25" s="45"/>
      <c r="O25" s="45"/>
    </row>
    <row r="26" spans="1:16" s="46" customFormat="1" ht="33.75" hidden="1" customHeight="1">
      <c r="A26" s="38" t="s">
        <v>45</v>
      </c>
      <c r="B26" s="39" t="s">
        <v>47</v>
      </c>
      <c r="C26" s="40"/>
      <c r="D26" s="41">
        <f>379</f>
        <v>379</v>
      </c>
      <c r="E26" s="42"/>
      <c r="F26" s="43">
        <v>406</v>
      </c>
      <c r="G26" s="43">
        <f>88.9+43.5+194.17117</f>
        <v>326.57117</v>
      </c>
      <c r="H26" s="44">
        <v>434</v>
      </c>
      <c r="I26" s="27">
        <f t="shared" si="4"/>
        <v>583.61099999999999</v>
      </c>
      <c r="J26" s="44">
        <v>583.61099999999999</v>
      </c>
      <c r="K26" s="44"/>
      <c r="L26" s="28">
        <f t="shared" si="2"/>
        <v>149.61099999999999</v>
      </c>
      <c r="M26" s="28">
        <f t="shared" si="3"/>
        <v>134.47258064516129</v>
      </c>
      <c r="N26" s="45"/>
      <c r="O26" s="45"/>
    </row>
    <row r="27" spans="1:16" ht="17.25" customHeight="1">
      <c r="A27" s="21" t="s">
        <v>48</v>
      </c>
      <c r="B27" s="22" t="s">
        <v>49</v>
      </c>
      <c r="C27" s="23" t="s">
        <v>20</v>
      </c>
      <c r="D27" s="24">
        <v>4520</v>
      </c>
      <c r="E27" s="25">
        <v>4500</v>
      </c>
      <c r="F27" s="26">
        <v>3309</v>
      </c>
      <c r="G27" s="26">
        <f>1980+1320</f>
        <v>3300</v>
      </c>
      <c r="H27" s="27">
        <v>0</v>
      </c>
      <c r="I27" s="27">
        <f t="shared" si="4"/>
        <v>0</v>
      </c>
      <c r="J27" s="27">
        <v>0</v>
      </c>
      <c r="K27" s="27"/>
      <c r="L27" s="28">
        <f t="shared" si="2"/>
        <v>0</v>
      </c>
      <c r="M27" s="28"/>
    </row>
    <row r="28" spans="1:16">
      <c r="A28" s="21" t="s">
        <v>50</v>
      </c>
      <c r="B28" s="22" t="s">
        <v>51</v>
      </c>
      <c r="C28" s="23" t="s">
        <v>20</v>
      </c>
      <c r="D28" s="24">
        <v>664</v>
      </c>
      <c r="E28" s="25">
        <v>451.56</v>
      </c>
      <c r="F28" s="26">
        <v>710</v>
      </c>
      <c r="G28" s="26">
        <f>119</f>
        <v>119</v>
      </c>
      <c r="H28" s="27">
        <v>760</v>
      </c>
      <c r="I28" s="27">
        <f t="shared" si="4"/>
        <v>424.267</v>
      </c>
      <c r="J28" s="27">
        <v>10.266999999999999</v>
      </c>
      <c r="K28" s="27">
        <v>414</v>
      </c>
      <c r="L28" s="28">
        <f t="shared" si="2"/>
        <v>-749.73299999999995</v>
      </c>
      <c r="M28" s="28">
        <f t="shared" si="3"/>
        <v>1.3509210526315789</v>
      </c>
    </row>
    <row r="29" spans="1:16">
      <c r="A29" s="21" t="s">
        <v>52</v>
      </c>
      <c r="B29" s="22" t="s">
        <v>53</v>
      </c>
      <c r="C29" s="23" t="s">
        <v>20</v>
      </c>
      <c r="D29" s="24">
        <v>11162</v>
      </c>
      <c r="E29" s="25">
        <v>11672.66</v>
      </c>
      <c r="F29" s="26">
        <v>11943</v>
      </c>
      <c r="G29" s="26">
        <f>685.03571+794.82366*2+74.52589*2+198.50268*2-299.3579+481.89379+206.52592+708.67411*2+292.01339*2+144.23464+657.06893+1109.80804*2+614.20714+409.47143+1512.607+587.51339*2</f>
        <v>11943.40898</v>
      </c>
      <c r="H29" s="27">
        <v>12781</v>
      </c>
      <c r="I29" s="27">
        <f t="shared" si="4"/>
        <v>14021.132</v>
      </c>
      <c r="J29" s="27">
        <f>622.183+622.183+1123.981+481.706+398.217+1411.862</f>
        <v>4660.1319999999996</v>
      </c>
      <c r="K29" s="27">
        <v>9361</v>
      </c>
      <c r="L29" s="28">
        <f t="shared" si="2"/>
        <v>-8120.8680000000004</v>
      </c>
      <c r="M29" s="28">
        <f t="shared" si="3"/>
        <v>36.461403646037084</v>
      </c>
    </row>
    <row r="30" spans="1:16">
      <c r="A30" s="21" t="s">
        <v>54</v>
      </c>
      <c r="B30" s="22" t="s">
        <v>55</v>
      </c>
      <c r="C30" s="23" t="s">
        <v>20</v>
      </c>
      <c r="D30" s="24">
        <v>3790</v>
      </c>
      <c r="E30" s="25">
        <v>4838.33</v>
      </c>
      <c r="F30" s="26">
        <v>4055</v>
      </c>
      <c r="G30" s="26">
        <f>1471.90815+114+42.97909+230.33568+2520.90853+478.82269+14.64285</f>
        <v>4873.59699</v>
      </c>
      <c r="H30" s="27">
        <v>4339</v>
      </c>
      <c r="I30" s="27">
        <f t="shared" si="4"/>
        <v>5113.3109999999997</v>
      </c>
      <c r="J30" s="27">
        <f>664.996+93.642+17.724+194.5+1936.461+734.881+9.107</f>
        <v>3651.3109999999997</v>
      </c>
      <c r="K30" s="27">
        <v>1462</v>
      </c>
      <c r="L30" s="28">
        <f t="shared" si="2"/>
        <v>-687.68900000000031</v>
      </c>
      <c r="M30" s="28">
        <f t="shared" si="3"/>
        <v>84.150979488361372</v>
      </c>
    </row>
    <row r="31" spans="1:16">
      <c r="A31" s="21" t="s">
        <v>56</v>
      </c>
      <c r="B31" s="22" t="s">
        <v>57</v>
      </c>
      <c r="C31" s="23" t="s">
        <v>20</v>
      </c>
      <c r="D31" s="24">
        <f>D32+D33+D34</f>
        <v>3539</v>
      </c>
      <c r="E31" s="25">
        <v>3529.83</v>
      </c>
      <c r="F31" s="26">
        <f t="shared" ref="F31:G31" si="10">F32+F33+F34</f>
        <v>3787</v>
      </c>
      <c r="G31" s="26">
        <f t="shared" si="10"/>
        <v>3355.6430399999999</v>
      </c>
      <c r="H31" s="27">
        <f>H32+H33+H34</f>
        <v>4051</v>
      </c>
      <c r="I31" s="27">
        <f t="shared" si="4"/>
        <v>3625.0989999999997</v>
      </c>
      <c r="J31" s="27">
        <f>J32+J33+J34</f>
        <v>2504.0989999999997</v>
      </c>
      <c r="K31" s="27">
        <v>1121</v>
      </c>
      <c r="L31" s="28">
        <f t="shared" si="2"/>
        <v>-1546.9010000000003</v>
      </c>
      <c r="M31" s="28">
        <f t="shared" si="3"/>
        <v>61.814342137743758</v>
      </c>
    </row>
    <row r="32" spans="1:16" s="46" customFormat="1" ht="18" hidden="1" customHeight="1">
      <c r="A32" s="38" t="s">
        <v>45</v>
      </c>
      <c r="B32" s="39" t="s">
        <v>58</v>
      </c>
      <c r="C32" s="40" t="s">
        <v>20</v>
      </c>
      <c r="D32" s="41">
        <v>2508</v>
      </c>
      <c r="E32" s="42"/>
      <c r="F32" s="43">
        <v>2684</v>
      </c>
      <c r="G32" s="43">
        <f>50+111.16071+2416.48233</f>
        <v>2577.6430399999999</v>
      </c>
      <c r="H32" s="44">
        <v>2871</v>
      </c>
      <c r="I32" s="27">
        <f t="shared" si="4"/>
        <v>2180.8989999999999</v>
      </c>
      <c r="J32" s="44">
        <v>2180.8989999999999</v>
      </c>
      <c r="K32" s="44"/>
      <c r="L32" s="28">
        <f t="shared" si="2"/>
        <v>-690.10100000000011</v>
      </c>
      <c r="M32" s="28">
        <f t="shared" si="3"/>
        <v>75.963044235458028</v>
      </c>
      <c r="N32" s="45"/>
      <c r="O32" s="45"/>
    </row>
    <row r="33" spans="1:15" s="46" customFormat="1" ht="17.25" hidden="1" customHeight="1">
      <c r="A33" s="38" t="s">
        <v>45</v>
      </c>
      <c r="B33" s="39" t="s">
        <v>59</v>
      </c>
      <c r="C33" s="40" t="s">
        <v>20</v>
      </c>
      <c r="D33" s="41">
        <v>448</v>
      </c>
      <c r="E33" s="42"/>
      <c r="F33" s="43">
        <v>479</v>
      </c>
      <c r="G33" s="43">
        <v>630</v>
      </c>
      <c r="H33" s="44">
        <v>513</v>
      </c>
      <c r="I33" s="27">
        <f t="shared" si="4"/>
        <v>323.2</v>
      </c>
      <c r="J33" s="44">
        <v>323.2</v>
      </c>
      <c r="K33" s="44"/>
      <c r="L33" s="28">
        <f t="shared" si="2"/>
        <v>-189.8</v>
      </c>
      <c r="M33" s="28">
        <f t="shared" si="3"/>
        <v>63.001949317738791</v>
      </c>
      <c r="N33" s="45"/>
      <c r="O33" s="45"/>
    </row>
    <row r="34" spans="1:15" s="46" customFormat="1" ht="20.25" hidden="1" customHeight="1">
      <c r="A34" s="38" t="s">
        <v>45</v>
      </c>
      <c r="B34" s="39" t="s">
        <v>60</v>
      </c>
      <c r="C34" s="40" t="s">
        <v>20</v>
      </c>
      <c r="D34" s="41">
        <v>583</v>
      </c>
      <c r="E34" s="42"/>
      <c r="F34" s="43">
        <v>624</v>
      </c>
      <c r="G34" s="43">
        <v>148</v>
      </c>
      <c r="H34" s="44">
        <v>667</v>
      </c>
      <c r="I34" s="27">
        <f t="shared" si="4"/>
        <v>0</v>
      </c>
      <c r="J34" s="44"/>
      <c r="K34" s="44"/>
      <c r="L34" s="28">
        <f t="shared" si="2"/>
        <v>-667</v>
      </c>
      <c r="M34" s="28">
        <f t="shared" si="3"/>
        <v>0</v>
      </c>
      <c r="N34" s="45"/>
      <c r="O34" s="45"/>
    </row>
    <row r="35" spans="1:15">
      <c r="A35" s="21" t="s">
        <v>61</v>
      </c>
      <c r="B35" s="22" t="s">
        <v>62</v>
      </c>
      <c r="C35" s="23" t="s">
        <v>20</v>
      </c>
      <c r="D35" s="24">
        <v>383</v>
      </c>
      <c r="E35" s="25">
        <v>395.3</v>
      </c>
      <c r="F35" s="26">
        <v>410</v>
      </c>
      <c r="G35" s="26">
        <v>858.07501000000002</v>
      </c>
      <c r="H35" s="27">
        <v>438</v>
      </c>
      <c r="I35" s="27">
        <f t="shared" si="4"/>
        <v>787.077</v>
      </c>
      <c r="J35" s="27">
        <v>428.077</v>
      </c>
      <c r="K35" s="27">
        <v>359</v>
      </c>
      <c r="L35" s="28">
        <f t="shared" si="2"/>
        <v>-9.9230000000000018</v>
      </c>
      <c r="M35" s="28">
        <f t="shared" si="3"/>
        <v>97.734474885844747</v>
      </c>
    </row>
    <row r="36" spans="1:15" ht="32.25" customHeight="1">
      <c r="A36" s="21" t="s">
        <v>63</v>
      </c>
      <c r="B36" s="22" t="s">
        <v>64</v>
      </c>
      <c r="C36" s="23" t="s">
        <v>20</v>
      </c>
      <c r="D36" s="24">
        <f>927+141</f>
        <v>1068</v>
      </c>
      <c r="E36" s="25">
        <v>1193.21</v>
      </c>
      <c r="F36" s="26">
        <f t="shared" ref="F36:G36" si="11">F37+F38</f>
        <v>1143</v>
      </c>
      <c r="G36" s="26">
        <f t="shared" si="11"/>
        <v>922.4508800000001</v>
      </c>
      <c r="H36" s="27">
        <v>1222</v>
      </c>
      <c r="I36" s="27">
        <f t="shared" si="4"/>
        <v>839.2</v>
      </c>
      <c r="J36" s="27">
        <f>314.2+200</f>
        <v>514.20000000000005</v>
      </c>
      <c r="K36" s="27">
        <v>325</v>
      </c>
      <c r="L36" s="28">
        <f t="shared" si="2"/>
        <v>-707.8</v>
      </c>
      <c r="M36" s="28">
        <f t="shared" si="3"/>
        <v>42.07855973813421</v>
      </c>
    </row>
    <row r="37" spans="1:15" s="46" customFormat="1" ht="27.75" hidden="1" customHeight="1">
      <c r="A37" s="38" t="s">
        <v>45</v>
      </c>
      <c r="B37" s="39" t="s">
        <v>65</v>
      </c>
      <c r="C37" s="40"/>
      <c r="D37" s="41">
        <f>927</f>
        <v>927</v>
      </c>
      <c r="E37" s="42"/>
      <c r="F37" s="43">
        <v>992</v>
      </c>
      <c r="G37" s="43">
        <f>275.60714+181.65089+4.44821+39.15357+2.425+17.41607+49.15625+199.91518+152.67857</f>
        <v>922.4508800000001</v>
      </c>
      <c r="H37" s="44">
        <v>1061</v>
      </c>
      <c r="I37" s="27">
        <f t="shared" si="4"/>
        <v>314.2</v>
      </c>
      <c r="J37" s="44">
        <v>314.2</v>
      </c>
      <c r="K37" s="44"/>
      <c r="L37" s="28">
        <f t="shared" si="2"/>
        <v>-746.8</v>
      </c>
      <c r="M37" s="28">
        <f t="shared" si="3"/>
        <v>29.613572101790766</v>
      </c>
      <c r="N37" s="45"/>
      <c r="O37" s="45"/>
    </row>
    <row r="38" spans="1:15" s="46" customFormat="1" ht="18" hidden="1" customHeight="1">
      <c r="A38" s="38" t="s">
        <v>45</v>
      </c>
      <c r="B38" s="39" t="s">
        <v>66</v>
      </c>
      <c r="C38" s="40"/>
      <c r="D38" s="41">
        <f>141</f>
        <v>141</v>
      </c>
      <c r="E38" s="42"/>
      <c r="F38" s="43">
        <v>151</v>
      </c>
      <c r="G38" s="43"/>
      <c r="H38" s="44">
        <v>161</v>
      </c>
      <c r="I38" s="27">
        <f t="shared" si="4"/>
        <v>0</v>
      </c>
      <c r="J38" s="44"/>
      <c r="K38" s="44"/>
      <c r="L38" s="28">
        <f t="shared" si="2"/>
        <v>-161</v>
      </c>
      <c r="M38" s="28">
        <f t="shared" si="3"/>
        <v>0</v>
      </c>
      <c r="N38" s="45"/>
      <c r="O38" s="45"/>
    </row>
    <row r="39" spans="1:15" ht="17.25" customHeight="1">
      <c r="A39" s="21" t="s">
        <v>67</v>
      </c>
      <c r="B39" s="22" t="s">
        <v>68</v>
      </c>
      <c r="C39" s="23" t="s">
        <v>20</v>
      </c>
      <c r="D39" s="24">
        <v>1755</v>
      </c>
      <c r="E39" s="25">
        <v>2210.71</v>
      </c>
      <c r="F39" s="26">
        <v>1878</v>
      </c>
      <c r="G39" s="26">
        <v>607.74099999999999</v>
      </c>
      <c r="H39" s="27">
        <v>2009</v>
      </c>
      <c r="I39" s="27">
        <f t="shared" si="4"/>
        <v>3236.8440000000001</v>
      </c>
      <c r="J39" s="27">
        <f>358.7+2372.6+12.376+9.36+72.083+6.188+4.68+17.857</f>
        <v>2853.8440000000001</v>
      </c>
      <c r="K39" s="27">
        <v>383</v>
      </c>
      <c r="L39" s="28">
        <f t="shared" si="2"/>
        <v>844.84400000000005</v>
      </c>
      <c r="M39" s="28">
        <f t="shared" si="3"/>
        <v>142.05296167247388</v>
      </c>
    </row>
    <row r="40" spans="1:15">
      <c r="A40" s="21" t="s">
        <v>69</v>
      </c>
      <c r="B40" s="22" t="s">
        <v>70</v>
      </c>
      <c r="C40" s="23" t="s">
        <v>20</v>
      </c>
      <c r="D40" s="24">
        <v>518</v>
      </c>
      <c r="E40" s="25">
        <v>0</v>
      </c>
      <c r="F40" s="26">
        <v>554</v>
      </c>
      <c r="G40" s="26">
        <v>0</v>
      </c>
      <c r="H40" s="27">
        <v>593</v>
      </c>
      <c r="I40" s="27">
        <f t="shared" si="4"/>
        <v>0</v>
      </c>
      <c r="J40" s="27"/>
      <c r="K40" s="27"/>
      <c r="L40" s="28">
        <f t="shared" si="2"/>
        <v>-593</v>
      </c>
      <c r="M40" s="28">
        <f t="shared" si="3"/>
        <v>0</v>
      </c>
    </row>
    <row r="41" spans="1:15">
      <c r="A41" s="21" t="s">
        <v>71</v>
      </c>
      <c r="B41" s="22" t="s">
        <v>72</v>
      </c>
      <c r="C41" s="23" t="s">
        <v>20</v>
      </c>
      <c r="D41" s="24">
        <v>137</v>
      </c>
      <c r="E41" s="25">
        <v>149.88999999999999</v>
      </c>
      <c r="F41" s="26">
        <v>146</v>
      </c>
      <c r="G41" s="26">
        <f>77</f>
        <v>77</v>
      </c>
      <c r="H41" s="27">
        <v>157</v>
      </c>
      <c r="I41" s="27">
        <f t="shared" si="4"/>
        <v>40</v>
      </c>
      <c r="J41" s="27">
        <v>40</v>
      </c>
      <c r="K41" s="27"/>
      <c r="L41" s="28">
        <f t="shared" si="2"/>
        <v>-117</v>
      </c>
      <c r="M41" s="28">
        <f t="shared" si="3"/>
        <v>25.477707006369428</v>
      </c>
    </row>
    <row r="42" spans="1:15" ht="30">
      <c r="A42" s="21" t="s">
        <v>73</v>
      </c>
      <c r="B42" s="22" t="s">
        <v>74</v>
      </c>
      <c r="C42" s="23" t="s">
        <v>20</v>
      </c>
      <c r="D42" s="24">
        <f>D43+D44+D45</f>
        <v>4103</v>
      </c>
      <c r="E42" s="25">
        <v>2364.4</v>
      </c>
      <c r="F42" s="26">
        <f t="shared" ref="F42" si="12">F43+F44+F45</f>
        <v>4390</v>
      </c>
      <c r="G42" s="26">
        <f>ROUND(G43+G44+G45,0)</f>
        <v>3240</v>
      </c>
      <c r="H42" s="27">
        <v>4698</v>
      </c>
      <c r="I42" s="27">
        <f t="shared" si="4"/>
        <v>1678.9649999999999</v>
      </c>
      <c r="J42" s="27">
        <f>J43+J44+J45</f>
        <v>785.96499999999992</v>
      </c>
      <c r="K42" s="27">
        <v>893</v>
      </c>
      <c r="L42" s="28">
        <f t="shared" si="2"/>
        <v>-3912.0349999999999</v>
      </c>
      <c r="M42" s="28">
        <f t="shared" si="3"/>
        <v>16.729778629203913</v>
      </c>
    </row>
    <row r="43" spans="1:15" s="46" customFormat="1" ht="20.25" hidden="1" customHeight="1">
      <c r="A43" s="38" t="s">
        <v>45</v>
      </c>
      <c r="B43" s="39" t="s">
        <v>75</v>
      </c>
      <c r="C43" s="40"/>
      <c r="D43" s="41">
        <f>1627</f>
        <v>1627</v>
      </c>
      <c r="E43" s="42"/>
      <c r="F43" s="43">
        <v>1740</v>
      </c>
      <c r="G43" s="43"/>
      <c r="H43" s="44">
        <v>1863</v>
      </c>
      <c r="I43" s="27">
        <f t="shared" si="4"/>
        <v>0</v>
      </c>
      <c r="J43" s="44"/>
      <c r="K43" s="44"/>
      <c r="L43" s="28">
        <f t="shared" si="2"/>
        <v>-1863</v>
      </c>
      <c r="M43" s="28">
        <f t="shared" si="3"/>
        <v>0</v>
      </c>
      <c r="N43" s="45"/>
      <c r="O43" s="45"/>
    </row>
    <row r="44" spans="1:15" s="46" customFormat="1" ht="18" hidden="1" customHeight="1">
      <c r="A44" s="38" t="s">
        <v>45</v>
      </c>
      <c r="B44" s="39" t="s">
        <v>76</v>
      </c>
      <c r="C44" s="40"/>
      <c r="D44" s="41">
        <f>2097</f>
        <v>2097</v>
      </c>
      <c r="E44" s="42"/>
      <c r="F44" s="43">
        <v>2244</v>
      </c>
      <c r="G44" s="43">
        <f>1000+22.76786+48.21429+7.58929+297.41071+205.2+82.7+12+8.92857+13.125+15+228+17.97714+84.55357+24.5+3+68.6+175.17857+112.19+384+38.4+164.28571</f>
        <v>3013.6207100000001</v>
      </c>
      <c r="H44" s="44">
        <v>2401</v>
      </c>
      <c r="I44" s="27">
        <f t="shared" si="4"/>
        <v>785.96499999999992</v>
      </c>
      <c r="J44" s="44">
        <f>153.56+66+273.28+20+44.375+70+70+18.75+70</f>
        <v>785.96499999999992</v>
      </c>
      <c r="K44" s="44"/>
      <c r="L44" s="28">
        <f t="shared" si="2"/>
        <v>-1615.0350000000001</v>
      </c>
      <c r="M44" s="28">
        <f t="shared" si="3"/>
        <v>32.734902124114953</v>
      </c>
      <c r="N44" s="45"/>
      <c r="O44" s="45"/>
    </row>
    <row r="45" spans="1:15" s="46" customFormat="1" ht="17.25" hidden="1" customHeight="1">
      <c r="A45" s="38" t="s">
        <v>45</v>
      </c>
      <c r="B45" s="39" t="s">
        <v>77</v>
      </c>
      <c r="C45" s="40"/>
      <c r="D45" s="41">
        <f>379</f>
        <v>379</v>
      </c>
      <c r="E45" s="42"/>
      <c r="F45" s="43">
        <v>406</v>
      </c>
      <c r="G45" s="43">
        <f>2.67857+158.66662+65.33331</f>
        <v>226.67849999999999</v>
      </c>
      <c r="H45" s="44">
        <v>434</v>
      </c>
      <c r="I45" s="27">
        <f t="shared" si="4"/>
        <v>0</v>
      </c>
      <c r="J45" s="44"/>
      <c r="K45" s="44"/>
      <c r="L45" s="28">
        <f t="shared" si="2"/>
        <v>-434</v>
      </c>
      <c r="M45" s="28">
        <f t="shared" si="3"/>
        <v>0</v>
      </c>
      <c r="N45" s="45"/>
      <c r="O45" s="45"/>
    </row>
    <row r="46" spans="1:15" ht="20.25" customHeight="1">
      <c r="A46" s="21" t="s">
        <v>78</v>
      </c>
      <c r="B46" s="22" t="s">
        <v>79</v>
      </c>
      <c r="C46" s="23" t="s">
        <v>20</v>
      </c>
      <c r="D46" s="24">
        <v>2781</v>
      </c>
      <c r="E46" s="25">
        <v>2593.75</v>
      </c>
      <c r="F46" s="26">
        <v>2976</v>
      </c>
      <c r="G46" s="26">
        <f>249+1100</f>
        <v>1349</v>
      </c>
      <c r="H46" s="27">
        <v>3184</v>
      </c>
      <c r="I46" s="27">
        <f t="shared" si="4"/>
        <v>1432.826</v>
      </c>
      <c r="J46" s="27">
        <f>125.826</f>
        <v>125.82599999999999</v>
      </c>
      <c r="K46" s="27">
        <f>1158+149</f>
        <v>1307</v>
      </c>
      <c r="L46" s="28">
        <f t="shared" si="2"/>
        <v>-3058.174</v>
      </c>
      <c r="M46" s="28">
        <f t="shared" si="3"/>
        <v>3.9518216080402007</v>
      </c>
    </row>
    <row r="47" spans="1:15" ht="30">
      <c r="A47" s="21" t="s">
        <v>80</v>
      </c>
      <c r="B47" s="22" t="s">
        <v>81</v>
      </c>
      <c r="C47" s="23" t="s">
        <v>20</v>
      </c>
      <c r="D47" s="24">
        <v>1160</v>
      </c>
      <c r="E47" s="25">
        <v>444.46</v>
      </c>
      <c r="F47" s="26">
        <v>1241</v>
      </c>
      <c r="G47" s="26">
        <v>984.28373999999997</v>
      </c>
      <c r="H47" s="27">
        <v>1328</v>
      </c>
      <c r="I47" s="27">
        <f t="shared" si="4"/>
        <v>2594.8850000000002</v>
      </c>
      <c r="J47" s="27">
        <v>2523.8850000000002</v>
      </c>
      <c r="K47" s="27">
        <v>71</v>
      </c>
      <c r="L47" s="28">
        <f t="shared" si="2"/>
        <v>1195.8850000000002</v>
      </c>
      <c r="M47" s="28">
        <f t="shared" si="3"/>
        <v>190.05158132530121</v>
      </c>
    </row>
    <row r="48" spans="1:15" ht="17.25" customHeight="1">
      <c r="A48" s="21" t="s">
        <v>82</v>
      </c>
      <c r="B48" s="22" t="s">
        <v>83</v>
      </c>
      <c r="C48" s="23" t="s">
        <v>20</v>
      </c>
      <c r="D48" s="24">
        <v>203</v>
      </c>
      <c r="E48" s="25">
        <v>201.06</v>
      </c>
      <c r="F48" s="26">
        <v>217</v>
      </c>
      <c r="G48" s="26">
        <v>227.21289999999999</v>
      </c>
      <c r="H48" s="27">
        <v>232</v>
      </c>
      <c r="I48" s="27">
        <f t="shared" si="4"/>
        <v>144.352</v>
      </c>
      <c r="J48" s="27">
        <v>144.352</v>
      </c>
      <c r="K48" s="27"/>
      <c r="L48" s="28">
        <f t="shared" si="2"/>
        <v>-87.647999999999996</v>
      </c>
      <c r="M48" s="28">
        <f t="shared" si="3"/>
        <v>62.220689655172414</v>
      </c>
    </row>
    <row r="49" spans="1:15">
      <c r="A49" s="21" t="s">
        <v>84</v>
      </c>
      <c r="B49" s="22" t="s">
        <v>85</v>
      </c>
      <c r="C49" s="23" t="s">
        <v>20</v>
      </c>
      <c r="D49" s="24">
        <v>1434</v>
      </c>
      <c r="E49" s="25">
        <v>1295.8499999999999</v>
      </c>
      <c r="F49" s="26">
        <v>1534</v>
      </c>
      <c r="G49" s="26">
        <f>1242.58</f>
        <v>1242.58</v>
      </c>
      <c r="H49" s="27">
        <v>1642</v>
      </c>
      <c r="I49" s="27">
        <f t="shared" si="4"/>
        <v>872.08799999999997</v>
      </c>
      <c r="J49" s="27">
        <v>850.08799999999997</v>
      </c>
      <c r="K49" s="27">
        <v>22</v>
      </c>
      <c r="L49" s="28">
        <f t="shared" si="2"/>
        <v>-791.91200000000003</v>
      </c>
      <c r="M49" s="28">
        <f t="shared" si="3"/>
        <v>51.771498172959809</v>
      </c>
    </row>
    <row r="50" spans="1:15">
      <c r="A50" s="21" t="s">
        <v>86</v>
      </c>
      <c r="B50" s="22" t="s">
        <v>87</v>
      </c>
      <c r="C50" s="23" t="s">
        <v>20</v>
      </c>
      <c r="D50" s="24"/>
      <c r="E50" s="25"/>
      <c r="F50" s="26"/>
      <c r="G50" s="26"/>
      <c r="H50" s="27"/>
      <c r="I50" s="27">
        <f t="shared" si="4"/>
        <v>160.69999999999999</v>
      </c>
      <c r="J50" s="27">
        <v>160.69999999999999</v>
      </c>
      <c r="K50" s="27"/>
      <c r="L50" s="28">
        <f t="shared" si="2"/>
        <v>160.69999999999999</v>
      </c>
      <c r="M50" s="28"/>
    </row>
    <row r="51" spans="1:15">
      <c r="A51" s="21" t="s">
        <v>88</v>
      </c>
      <c r="B51" s="22" t="s">
        <v>89</v>
      </c>
      <c r="C51" s="23" t="s">
        <v>20</v>
      </c>
      <c r="D51" s="24"/>
      <c r="E51" s="25"/>
      <c r="F51" s="26"/>
      <c r="G51" s="26"/>
      <c r="H51" s="27"/>
      <c r="I51" s="27">
        <f t="shared" si="4"/>
        <v>17848.477999999999</v>
      </c>
      <c r="J51" s="27">
        <v>17848.477999999999</v>
      </c>
      <c r="K51" s="27"/>
      <c r="L51" s="28">
        <f t="shared" si="2"/>
        <v>17848.477999999999</v>
      </c>
      <c r="M51" s="28"/>
    </row>
    <row r="52" spans="1:15">
      <c r="A52" s="21" t="s">
        <v>90</v>
      </c>
      <c r="B52" s="22" t="s">
        <v>91</v>
      </c>
      <c r="C52" s="23" t="s">
        <v>20</v>
      </c>
      <c r="D52" s="24"/>
      <c r="E52" s="25"/>
      <c r="F52" s="26"/>
      <c r="G52" s="26"/>
      <c r="H52" s="27"/>
      <c r="I52" s="27">
        <f t="shared" si="4"/>
        <v>291.14600000000002</v>
      </c>
      <c r="J52" s="27">
        <v>291.14600000000002</v>
      </c>
      <c r="K52" s="27"/>
      <c r="L52" s="28">
        <f t="shared" si="2"/>
        <v>291.14600000000002</v>
      </c>
      <c r="M52" s="28"/>
    </row>
    <row r="53" spans="1:15">
      <c r="A53" s="21" t="s">
        <v>92</v>
      </c>
      <c r="B53" s="22" t="s">
        <v>93</v>
      </c>
      <c r="C53" s="23" t="s">
        <v>20</v>
      </c>
      <c r="D53" s="24"/>
      <c r="E53" s="25"/>
      <c r="F53" s="26"/>
      <c r="G53" s="26"/>
      <c r="H53" s="27"/>
      <c r="I53" s="27">
        <f t="shared" si="4"/>
        <v>138.34800000000001</v>
      </c>
      <c r="J53" s="27">
        <v>138.34800000000001</v>
      </c>
      <c r="K53" s="27"/>
      <c r="L53" s="28">
        <f t="shared" si="2"/>
        <v>138.34800000000001</v>
      </c>
      <c r="M53" s="28"/>
    </row>
    <row r="54" spans="1:15" s="20" customFormat="1">
      <c r="A54" s="29" t="s">
        <v>94</v>
      </c>
      <c r="B54" s="17" t="s">
        <v>95</v>
      </c>
      <c r="C54" s="13" t="s">
        <v>20</v>
      </c>
      <c r="D54" s="32">
        <f>D55+D61+D62+D63+D64+D65</f>
        <v>22431</v>
      </c>
      <c r="E54" s="32" t="e">
        <f>E55+E61+E62+E63+E64+E65+#REF!+#REF!</f>
        <v>#REF!</v>
      </c>
      <c r="F54" s="32">
        <f>F55+F61+F62+F63+F64+F65</f>
        <v>24002</v>
      </c>
      <c r="G54" s="32" t="e">
        <f>G55+G61+G62+G63+G64+G65+#REF!+#REF!+#REF!</f>
        <v>#REF!</v>
      </c>
      <c r="H54" s="32">
        <f>H55+H61+H62+H63+H64+H65</f>
        <v>25682</v>
      </c>
      <c r="I54" s="32">
        <f>I55+I61+I62+I63+I64+I65</f>
        <v>30616.105000000003</v>
      </c>
      <c r="J54" s="32">
        <v>15399.013999999999</v>
      </c>
      <c r="K54" s="32">
        <f>K55+K61+K62+K63+K64+K65</f>
        <v>7576.8</v>
      </c>
      <c r="L54" s="19">
        <f t="shared" si="2"/>
        <v>-10282.986000000001</v>
      </c>
      <c r="M54" s="19">
        <f t="shared" si="3"/>
        <v>59.960337979908104</v>
      </c>
      <c r="N54" s="11"/>
      <c r="O54" s="12"/>
    </row>
    <row r="55" spans="1:15" ht="33.75" customHeight="1">
      <c r="A55" s="21" t="s">
        <v>96</v>
      </c>
      <c r="B55" s="22" t="s">
        <v>97</v>
      </c>
      <c r="C55" s="23" t="s">
        <v>20</v>
      </c>
      <c r="D55" s="24">
        <f>3891+169+123+508+1119</f>
        <v>5810</v>
      </c>
      <c r="E55" s="25">
        <v>8228.92</v>
      </c>
      <c r="F55" s="26">
        <f t="shared" ref="F55" si="13">F56+F57+F58+F59+F60</f>
        <v>6217</v>
      </c>
      <c r="G55" s="26">
        <f>G56+G57+G58+G59+G60</f>
        <v>10143.64595</v>
      </c>
      <c r="H55" s="27">
        <v>6652</v>
      </c>
      <c r="I55" s="27">
        <f t="shared" si="4"/>
        <v>11366.527</v>
      </c>
      <c r="J55" s="27">
        <f>J56+J59+J60</f>
        <v>8440.527</v>
      </c>
      <c r="K55" s="27">
        <v>2926</v>
      </c>
      <c r="L55" s="28">
        <f t="shared" si="2"/>
        <v>1788.527</v>
      </c>
      <c r="M55" s="28">
        <f t="shared" si="3"/>
        <v>126.88705652435357</v>
      </c>
    </row>
    <row r="56" spans="1:15" s="46" customFormat="1" ht="18" hidden="1" customHeight="1">
      <c r="A56" s="38" t="s">
        <v>45</v>
      </c>
      <c r="B56" s="39" t="s">
        <v>98</v>
      </c>
      <c r="C56" s="40"/>
      <c r="D56" s="41">
        <f>3891</f>
        <v>3891</v>
      </c>
      <c r="E56" s="42"/>
      <c r="F56" s="43">
        <v>4163</v>
      </c>
      <c r="G56" s="43">
        <v>8442.6309500000007</v>
      </c>
      <c r="H56" s="44">
        <v>4455</v>
      </c>
      <c r="I56" s="27">
        <f t="shared" si="4"/>
        <v>6829.8220000000001</v>
      </c>
      <c r="J56" s="44">
        <v>6829.8220000000001</v>
      </c>
      <c r="K56" s="44"/>
      <c r="L56" s="28">
        <f t="shared" si="2"/>
        <v>2374.8220000000001</v>
      </c>
      <c r="M56" s="28">
        <f t="shared" si="3"/>
        <v>153.3068911335578</v>
      </c>
      <c r="N56" s="45"/>
      <c r="O56" s="45"/>
    </row>
    <row r="57" spans="1:15" s="46" customFormat="1" ht="17.25" hidden="1" customHeight="1">
      <c r="A57" s="38" t="s">
        <v>45</v>
      </c>
      <c r="B57" s="39" t="s">
        <v>99</v>
      </c>
      <c r="C57" s="40"/>
      <c r="D57" s="41">
        <f>123</f>
        <v>123</v>
      </c>
      <c r="E57" s="42"/>
      <c r="F57" s="43">
        <v>132</v>
      </c>
      <c r="G57" s="43"/>
      <c r="H57" s="44">
        <v>141</v>
      </c>
      <c r="I57" s="27">
        <f t="shared" si="4"/>
        <v>0</v>
      </c>
      <c r="J57" s="44"/>
      <c r="K57" s="44"/>
      <c r="L57" s="28">
        <f t="shared" si="2"/>
        <v>-141</v>
      </c>
      <c r="M57" s="28">
        <f t="shared" si="3"/>
        <v>0</v>
      </c>
      <c r="N57" s="45"/>
      <c r="O57" s="45"/>
    </row>
    <row r="58" spans="1:15" s="46" customFormat="1" ht="20.25" hidden="1" customHeight="1">
      <c r="A58" s="38" t="s">
        <v>45</v>
      </c>
      <c r="B58" s="39" t="s">
        <v>100</v>
      </c>
      <c r="C58" s="40"/>
      <c r="D58" s="41">
        <f>169</f>
        <v>169</v>
      </c>
      <c r="E58" s="42"/>
      <c r="F58" s="43">
        <v>181</v>
      </c>
      <c r="G58" s="43"/>
      <c r="H58" s="44">
        <v>193</v>
      </c>
      <c r="I58" s="27">
        <f t="shared" si="4"/>
        <v>0</v>
      </c>
      <c r="J58" s="44"/>
      <c r="K58" s="44"/>
      <c r="L58" s="28">
        <f t="shared" si="2"/>
        <v>-193</v>
      </c>
      <c r="M58" s="28">
        <f t="shared" si="3"/>
        <v>0</v>
      </c>
      <c r="N58" s="45"/>
      <c r="O58" s="45"/>
    </row>
    <row r="59" spans="1:15" s="46" customFormat="1" ht="18" hidden="1" customHeight="1">
      <c r="A59" s="38" t="s">
        <v>45</v>
      </c>
      <c r="B59" s="39" t="s">
        <v>101</v>
      </c>
      <c r="C59" s="40"/>
      <c r="D59" s="41">
        <f>508</f>
        <v>508</v>
      </c>
      <c r="E59" s="42"/>
      <c r="F59" s="43">
        <v>544</v>
      </c>
      <c r="G59" s="43">
        <f>655.545</f>
        <v>655.54499999999996</v>
      </c>
      <c r="H59" s="44">
        <v>582</v>
      </c>
      <c r="I59" s="27">
        <f t="shared" si="4"/>
        <v>801.27</v>
      </c>
      <c r="J59" s="44">
        <v>801.27</v>
      </c>
      <c r="K59" s="44"/>
      <c r="L59" s="28">
        <f t="shared" si="2"/>
        <v>219.26999999999998</v>
      </c>
      <c r="M59" s="28">
        <f t="shared" si="3"/>
        <v>137.67525773195877</v>
      </c>
      <c r="N59" s="45"/>
      <c r="O59" s="45"/>
    </row>
    <row r="60" spans="1:15" s="46" customFormat="1" ht="17.25" hidden="1" customHeight="1">
      <c r="A60" s="38" t="s">
        <v>45</v>
      </c>
      <c r="B60" s="39" t="s">
        <v>102</v>
      </c>
      <c r="C60" s="40"/>
      <c r="D60" s="41">
        <f>1119</f>
        <v>1119</v>
      </c>
      <c r="E60" s="42"/>
      <c r="F60" s="43">
        <v>1197</v>
      </c>
      <c r="G60" s="43">
        <f>1045.47</f>
        <v>1045.47</v>
      </c>
      <c r="H60" s="44">
        <v>1281</v>
      </c>
      <c r="I60" s="27">
        <f t="shared" si="4"/>
        <v>809.43499999999995</v>
      </c>
      <c r="J60" s="44">
        <v>809.43499999999995</v>
      </c>
      <c r="K60" s="44"/>
      <c r="L60" s="28">
        <f t="shared" si="2"/>
        <v>-471.56500000000005</v>
      </c>
      <c r="M60" s="28">
        <f t="shared" si="3"/>
        <v>63.187743950039035</v>
      </c>
      <c r="N60" s="45"/>
      <c r="O60" s="45"/>
    </row>
    <row r="61" spans="1:15" ht="19.5" customHeight="1">
      <c r="A61" s="21" t="s">
        <v>103</v>
      </c>
      <c r="B61" s="22" t="s">
        <v>104</v>
      </c>
      <c r="C61" s="23" t="s">
        <v>20</v>
      </c>
      <c r="D61" s="24">
        <v>9057</v>
      </c>
      <c r="E61" s="25">
        <v>7318.62</v>
      </c>
      <c r="F61" s="26">
        <v>9691</v>
      </c>
      <c r="G61" s="26">
        <v>8831.2911199999999</v>
      </c>
      <c r="H61" s="27">
        <v>10369</v>
      </c>
      <c r="I61" s="27">
        <f t="shared" si="4"/>
        <v>10657.849</v>
      </c>
      <c r="J61" s="27">
        <f>7857.849</f>
        <v>7857.8490000000002</v>
      </c>
      <c r="K61" s="27">
        <v>2800</v>
      </c>
      <c r="L61" s="28">
        <f t="shared" si="2"/>
        <v>-2511.1509999999998</v>
      </c>
      <c r="M61" s="28">
        <f t="shared" si="3"/>
        <v>75.782129424245355</v>
      </c>
    </row>
    <row r="62" spans="1:15" ht="18" customHeight="1">
      <c r="A62" s="21" t="s">
        <v>105</v>
      </c>
      <c r="B62" s="22" t="s">
        <v>106</v>
      </c>
      <c r="C62" s="23" t="s">
        <v>20</v>
      </c>
      <c r="D62" s="24">
        <v>2255</v>
      </c>
      <c r="E62" s="25">
        <v>2272.52</v>
      </c>
      <c r="F62" s="26">
        <v>2413</v>
      </c>
      <c r="G62" s="26">
        <f>2362.30714</f>
        <v>2362.3071399999999</v>
      </c>
      <c r="H62" s="27">
        <v>2582</v>
      </c>
      <c r="I62" s="27">
        <f t="shared" si="4"/>
        <v>2450.8289999999997</v>
      </c>
      <c r="J62" s="27">
        <v>1683.829</v>
      </c>
      <c r="K62" s="27">
        <v>767</v>
      </c>
      <c r="L62" s="28">
        <f t="shared" si="2"/>
        <v>-898.17100000000005</v>
      </c>
      <c r="M62" s="28">
        <f t="shared" si="3"/>
        <v>65.214136328427571</v>
      </c>
    </row>
    <row r="63" spans="1:15" ht="17.25" customHeight="1">
      <c r="A63" s="21" t="s">
        <v>107</v>
      </c>
      <c r="B63" s="22" t="s">
        <v>108</v>
      </c>
      <c r="C63" s="23" t="s">
        <v>20</v>
      </c>
      <c r="D63" s="24">
        <v>2150</v>
      </c>
      <c r="E63" s="25">
        <v>2693.21</v>
      </c>
      <c r="F63" s="26">
        <v>2301</v>
      </c>
      <c r="G63" s="26">
        <f>15.06+596.5324+213.333+770.5802+96.936</f>
        <v>1692.4415999999999</v>
      </c>
      <c r="H63" s="27">
        <v>2462</v>
      </c>
      <c r="I63" s="27">
        <f t="shared" si="4"/>
        <v>2242.2219999999998</v>
      </c>
      <c r="J63" s="27">
        <f>764.063+286.527+868.01+41.622</f>
        <v>1960.222</v>
      </c>
      <c r="K63" s="27">
        <v>282</v>
      </c>
      <c r="L63" s="28">
        <f t="shared" si="2"/>
        <v>-501.77800000000002</v>
      </c>
      <c r="M63" s="28">
        <f t="shared" si="3"/>
        <v>79.619090170593012</v>
      </c>
    </row>
    <row r="64" spans="1:15" ht="20.25" customHeight="1">
      <c r="A64" s="21" t="s">
        <v>109</v>
      </c>
      <c r="B64" s="22" t="s">
        <v>110</v>
      </c>
      <c r="C64" s="23" t="s">
        <v>20</v>
      </c>
      <c r="D64" s="24">
        <v>769</v>
      </c>
      <c r="E64" s="25">
        <v>1162.45</v>
      </c>
      <c r="F64" s="26">
        <v>823</v>
      </c>
      <c r="G64" s="26">
        <v>819.89764000000002</v>
      </c>
      <c r="H64" s="27">
        <v>881</v>
      </c>
      <c r="I64" s="27">
        <f t="shared" si="4"/>
        <v>1025.653</v>
      </c>
      <c r="J64" s="27">
        <v>936.65300000000002</v>
      </c>
      <c r="K64" s="27">
        <v>89</v>
      </c>
      <c r="L64" s="28">
        <f t="shared" si="2"/>
        <v>55.65300000000002</v>
      </c>
      <c r="M64" s="28">
        <f t="shared" si="3"/>
        <v>106.31702610669693</v>
      </c>
    </row>
    <row r="65" spans="1:15" ht="18" customHeight="1">
      <c r="A65" s="21" t="s">
        <v>111</v>
      </c>
      <c r="B65" s="22" t="s">
        <v>112</v>
      </c>
      <c r="C65" s="23" t="s">
        <v>20</v>
      </c>
      <c r="D65" s="24">
        <v>2390</v>
      </c>
      <c r="E65" s="25">
        <v>2338.9699999999998</v>
      </c>
      <c r="F65" s="26">
        <v>2557</v>
      </c>
      <c r="G65" s="26">
        <v>2545.6930000000002</v>
      </c>
      <c r="H65" s="27">
        <v>2736</v>
      </c>
      <c r="I65" s="27">
        <f t="shared" si="4"/>
        <v>2873.0249999999996</v>
      </c>
      <c r="J65" s="27">
        <v>2160.2249999999999</v>
      </c>
      <c r="K65" s="27">
        <v>712.8</v>
      </c>
      <c r="L65" s="28">
        <f t="shared" si="2"/>
        <v>-575.77500000000009</v>
      </c>
      <c r="M65" s="28">
        <f t="shared" si="3"/>
        <v>78.95559210526315</v>
      </c>
    </row>
    <row r="66" spans="1:15" s="20" customFormat="1" ht="28.5">
      <c r="A66" s="29" t="s">
        <v>113</v>
      </c>
      <c r="B66" s="17" t="s">
        <v>114</v>
      </c>
      <c r="C66" s="13" t="s">
        <v>20</v>
      </c>
      <c r="D66" s="32">
        <f t="shared" ref="D66:K66" si="14">D67</f>
        <v>378683.28268200002</v>
      </c>
      <c r="E66" s="32">
        <f t="shared" si="14"/>
        <v>483601.38000000006</v>
      </c>
      <c r="F66" s="32">
        <f t="shared" si="14"/>
        <v>490692</v>
      </c>
      <c r="G66" s="32">
        <f t="shared" si="14"/>
        <v>574744.12060000014</v>
      </c>
      <c r="H66" s="32">
        <f t="shared" si="14"/>
        <v>509229</v>
      </c>
      <c r="I66" s="32">
        <f t="shared" si="14"/>
        <v>687698.00969999982</v>
      </c>
      <c r="J66" s="32">
        <v>342761.00040000002</v>
      </c>
      <c r="K66" s="32">
        <f t="shared" si="14"/>
        <v>173533.7</v>
      </c>
      <c r="L66" s="19">
        <f t="shared" si="2"/>
        <v>-166467.99959999998</v>
      </c>
      <c r="M66" s="19">
        <f t="shared" si="3"/>
        <v>67.309795867870847</v>
      </c>
      <c r="N66" s="47"/>
      <c r="O66" s="12"/>
    </row>
    <row r="67" spans="1:15" ht="27.75" customHeight="1">
      <c r="A67" s="21" t="s">
        <v>115</v>
      </c>
      <c r="B67" s="22" t="s">
        <v>116</v>
      </c>
      <c r="C67" s="23" t="s">
        <v>20</v>
      </c>
      <c r="D67" s="24">
        <f>D68+D71+D72+D73+D74+D75+D80+D81+D82+D83+D84</f>
        <v>378683.28268200002</v>
      </c>
      <c r="E67" s="25">
        <f>E68+E71+E72+E73+E74+E75+E80+E81+E82+E83+E84</f>
        <v>483601.38000000006</v>
      </c>
      <c r="F67" s="26">
        <f t="shared" ref="F67" si="15">F68+F71+F72+F73+F74+F75+F80+F81+F82+F83+F84</f>
        <v>490692</v>
      </c>
      <c r="G67" s="26">
        <f>G68+G71+G72+G73+G74+G75+G80+G81+G82+G83+G84</f>
        <v>574744.12060000014</v>
      </c>
      <c r="H67" s="27">
        <f>H68+H71+H72+H73+H74+H75+H80+H81+H82+H83+H84</f>
        <v>509229</v>
      </c>
      <c r="I67" s="27">
        <f>I68+I71+I72+I73+I74+I75+I80+I81+I82+I83+I84</f>
        <v>687698.00969999982</v>
      </c>
      <c r="J67" s="27">
        <v>342761.00040000002</v>
      </c>
      <c r="K67" s="27">
        <f>K68+K71+K72+K73+K74+K75+K80+K81+K82+K83+K84</f>
        <v>173533.7</v>
      </c>
      <c r="L67" s="28">
        <f t="shared" si="2"/>
        <v>-166467.99959999998</v>
      </c>
      <c r="M67" s="28">
        <f t="shared" si="3"/>
        <v>67.309795867870847</v>
      </c>
    </row>
    <row r="68" spans="1:15">
      <c r="A68" s="21" t="s">
        <v>117</v>
      </c>
      <c r="B68" s="22" t="s">
        <v>118</v>
      </c>
      <c r="C68" s="23" t="s">
        <v>20</v>
      </c>
      <c r="D68" s="24">
        <f t="shared" ref="D68:I68" si="16">D69+D70</f>
        <v>67969.982682000002</v>
      </c>
      <c r="E68" s="25">
        <f t="shared" si="16"/>
        <v>98947.4</v>
      </c>
      <c r="F68" s="26">
        <f t="shared" si="16"/>
        <v>73408</v>
      </c>
      <c r="G68" s="26">
        <f t="shared" si="16"/>
        <v>117213.62520000001</v>
      </c>
      <c r="H68" s="27">
        <f t="shared" si="16"/>
        <v>79280</v>
      </c>
      <c r="I68" s="27">
        <f t="shared" si="16"/>
        <v>120293.57270000002</v>
      </c>
      <c r="J68" s="27">
        <v>60805.032400000011</v>
      </c>
      <c r="K68" s="27">
        <f t="shared" ref="K68" si="17">K69+K70</f>
        <v>32318</v>
      </c>
      <c r="L68" s="28">
        <f t="shared" si="2"/>
        <v>-18474.967599999989</v>
      </c>
      <c r="M68" s="28">
        <f t="shared" si="3"/>
        <v>76.696559535822416</v>
      </c>
    </row>
    <row r="69" spans="1:15" ht="30">
      <c r="A69" s="21" t="s">
        <v>119</v>
      </c>
      <c r="B69" s="22" t="s">
        <v>120</v>
      </c>
      <c r="C69" s="23" t="s">
        <v>20</v>
      </c>
      <c r="D69" s="24">
        <v>61847.118000000002</v>
      </c>
      <c r="E69" s="25">
        <v>90034</v>
      </c>
      <c r="F69" s="26">
        <v>66795</v>
      </c>
      <c r="G69" s="26">
        <v>106654.8</v>
      </c>
      <c r="H69" s="27">
        <v>72138</v>
      </c>
      <c r="I69" s="27">
        <f t="shared" ref="I69" si="18">J69+K69</f>
        <v>109457.30000000002</v>
      </c>
      <c r="J69" s="27">
        <f>9383+9425.5+9705.6+8656.4+8794.8+9045.3+9083.9+8868.2+7114.6</f>
        <v>80077.300000000017</v>
      </c>
      <c r="K69" s="27">
        <v>29380</v>
      </c>
      <c r="L69" s="28">
        <f t="shared" si="2"/>
        <v>7939.3000000000175</v>
      </c>
      <c r="M69" s="28">
        <f t="shared" si="3"/>
        <v>111.00571127561065</v>
      </c>
    </row>
    <row r="70" spans="1:15">
      <c r="A70" s="21" t="s">
        <v>121</v>
      </c>
      <c r="B70" s="22" t="s">
        <v>30</v>
      </c>
      <c r="C70" s="23" t="s">
        <v>20</v>
      </c>
      <c r="D70" s="24">
        <f>(D69-D69*0.1)*0.11</f>
        <v>6122.8646819999994</v>
      </c>
      <c r="E70" s="25">
        <v>8913.4</v>
      </c>
      <c r="F70" s="26">
        <v>6613</v>
      </c>
      <c r="G70" s="30">
        <f>G69*9.9/100</f>
        <v>10558.825199999999</v>
      </c>
      <c r="H70" s="27">
        <v>7142</v>
      </c>
      <c r="I70" s="27">
        <f>I69*9.9/100</f>
        <v>10836.272700000003</v>
      </c>
      <c r="J70" s="27">
        <f>J69*9.9/100</f>
        <v>7927.6527000000024</v>
      </c>
      <c r="K70" s="27">
        <v>2938</v>
      </c>
      <c r="L70" s="28">
        <f t="shared" si="2"/>
        <v>785.65270000000237</v>
      </c>
      <c r="M70" s="28">
        <f t="shared" si="3"/>
        <v>111.00045785494264</v>
      </c>
    </row>
    <row r="71" spans="1:15" ht="18" customHeight="1">
      <c r="A71" s="21" t="s">
        <v>122</v>
      </c>
      <c r="B71" s="22" t="s">
        <v>32</v>
      </c>
      <c r="C71" s="23" t="s">
        <v>20</v>
      </c>
      <c r="D71" s="24">
        <v>15458</v>
      </c>
      <c r="E71" s="25">
        <v>15127.54</v>
      </c>
      <c r="F71" s="26">
        <v>16081</v>
      </c>
      <c r="G71" s="26">
        <v>16593.35253</v>
      </c>
      <c r="H71" s="27">
        <v>16819</v>
      </c>
      <c r="I71" s="27">
        <f t="shared" ref="I71:I83" si="19">J71+K71</f>
        <v>19927.550999999999</v>
      </c>
      <c r="J71" s="27">
        <v>14479.550999999999</v>
      </c>
      <c r="K71" s="27">
        <v>5448</v>
      </c>
      <c r="L71" s="28">
        <f t="shared" si="2"/>
        <v>-2339.4490000000005</v>
      </c>
      <c r="M71" s="28">
        <f t="shared" si="3"/>
        <v>86.090439384029963</v>
      </c>
    </row>
    <row r="72" spans="1:15" ht="17.25" customHeight="1">
      <c r="A72" s="21" t="s">
        <v>123</v>
      </c>
      <c r="B72" s="22" t="s">
        <v>124</v>
      </c>
      <c r="C72" s="23" t="s">
        <v>20</v>
      </c>
      <c r="D72" s="24">
        <v>250987</v>
      </c>
      <c r="E72" s="25">
        <v>316064.51</v>
      </c>
      <c r="F72" s="26">
        <v>353822</v>
      </c>
      <c r="G72" s="26">
        <f>1306.23+69.263+391091.344+591.06+1077.1+6.005+583.282+573.64</f>
        <v>395297.924</v>
      </c>
      <c r="H72" s="27">
        <v>362331</v>
      </c>
      <c r="I72" s="27">
        <f t="shared" si="19"/>
        <v>494704.04700000002</v>
      </c>
      <c r="J72" s="27">
        <f>979.673+53.348+366209.431+441.826+3.783+340.052+465.28+1751.654</f>
        <v>370245.04700000002</v>
      </c>
      <c r="K72" s="27">
        <v>124459</v>
      </c>
      <c r="L72" s="28">
        <f t="shared" si="2"/>
        <v>7914.0470000000205</v>
      </c>
      <c r="M72" s="28">
        <f t="shared" si="3"/>
        <v>102.18420367012484</v>
      </c>
    </row>
    <row r="73" spans="1:15">
      <c r="A73" s="21" t="s">
        <v>125</v>
      </c>
      <c r="B73" s="22" t="s">
        <v>126</v>
      </c>
      <c r="C73" s="23" t="s">
        <v>20</v>
      </c>
      <c r="D73" s="24">
        <v>1366</v>
      </c>
      <c r="E73" s="25">
        <v>1296.83</v>
      </c>
      <c r="F73" s="26">
        <v>1462</v>
      </c>
      <c r="G73" s="26">
        <f>553.50357+950.1022</f>
        <v>1503.6057700000001</v>
      </c>
      <c r="H73" s="27">
        <v>1564</v>
      </c>
      <c r="I73" s="27">
        <f t="shared" si="19"/>
        <v>1381.943</v>
      </c>
      <c r="J73" s="27">
        <f>396.461+676.482</f>
        <v>1072.943</v>
      </c>
      <c r="K73" s="27">
        <v>309</v>
      </c>
      <c r="L73" s="28">
        <f t="shared" si="2"/>
        <v>-491.05700000000002</v>
      </c>
      <c r="M73" s="28">
        <f t="shared" si="3"/>
        <v>68.602493606138097</v>
      </c>
    </row>
    <row r="74" spans="1:15">
      <c r="A74" s="21" t="s">
        <v>127</v>
      </c>
      <c r="B74" s="22" t="s">
        <v>22</v>
      </c>
      <c r="C74" s="23" t="s">
        <v>20</v>
      </c>
      <c r="D74" s="24">
        <v>3324</v>
      </c>
      <c r="E74" s="25">
        <v>2791.83</v>
      </c>
      <c r="F74" s="26">
        <v>3557</v>
      </c>
      <c r="G74" s="26">
        <v>3480.1128899999999</v>
      </c>
      <c r="H74" s="27">
        <v>3806</v>
      </c>
      <c r="I74" s="27">
        <f t="shared" si="19"/>
        <v>3625.0479999999998</v>
      </c>
      <c r="J74" s="27">
        <v>2847.348</v>
      </c>
      <c r="K74" s="27">
        <v>777.7</v>
      </c>
      <c r="L74" s="28">
        <f t="shared" si="2"/>
        <v>-958.65200000000004</v>
      </c>
      <c r="M74" s="28">
        <f t="shared" si="3"/>
        <v>74.812086179716246</v>
      </c>
    </row>
    <row r="75" spans="1:15" ht="45">
      <c r="A75" s="21" t="s">
        <v>128</v>
      </c>
      <c r="B75" s="22" t="s">
        <v>129</v>
      </c>
      <c r="C75" s="23" t="s">
        <v>20</v>
      </c>
      <c r="D75" s="24">
        <f>2136+348+486+130</f>
        <v>3100</v>
      </c>
      <c r="E75" s="25">
        <v>2677.04</v>
      </c>
      <c r="F75" s="26">
        <v>3331</v>
      </c>
      <c r="G75" s="26">
        <f>G76+G77+G78+G79</f>
        <v>3750.9631599999998</v>
      </c>
      <c r="H75" s="27">
        <v>3665</v>
      </c>
      <c r="I75" s="27">
        <f t="shared" si="19"/>
        <v>4583.1959999999999</v>
      </c>
      <c r="J75" s="27">
        <f>368.937+54.001+588.169+765.105+1148.984</f>
        <v>2925.1959999999999</v>
      </c>
      <c r="K75" s="27">
        <v>1658</v>
      </c>
      <c r="L75" s="28">
        <f t="shared" ref="L75:L106" si="20">J75-H75</f>
        <v>-739.80400000000009</v>
      </c>
      <c r="M75" s="28">
        <f t="shared" ref="M75:M106" si="21">J75/H75*100</f>
        <v>79.814351978171899</v>
      </c>
    </row>
    <row r="76" spans="1:15" s="46" customFormat="1" ht="20.25" hidden="1" customHeight="1">
      <c r="A76" s="38" t="s">
        <v>45</v>
      </c>
      <c r="B76" s="39" t="s">
        <v>130</v>
      </c>
      <c r="C76" s="40"/>
      <c r="D76" s="41">
        <f>2136</f>
        <v>2136</v>
      </c>
      <c r="E76" s="42"/>
      <c r="F76" s="43">
        <v>2315</v>
      </c>
      <c r="G76" s="43">
        <f>1075.20289+937.40465</f>
        <v>2012.60754</v>
      </c>
      <c r="H76" s="44">
        <v>2603</v>
      </c>
      <c r="I76" s="27">
        <f t="shared" si="19"/>
        <v>2226.9250000000002</v>
      </c>
      <c r="J76" s="44">
        <v>1552.9250000000002</v>
      </c>
      <c r="K76" s="44">
        <v>674</v>
      </c>
      <c r="L76" s="28">
        <f t="shared" si="20"/>
        <v>-1050.0749999999998</v>
      </c>
      <c r="M76" s="28">
        <f t="shared" si="21"/>
        <v>59.659047253169426</v>
      </c>
      <c r="N76" s="45"/>
      <c r="O76" s="45"/>
    </row>
    <row r="77" spans="1:15" s="46" customFormat="1" ht="18" hidden="1" customHeight="1">
      <c r="A77" s="38" t="s">
        <v>45</v>
      </c>
      <c r="B77" s="39" t="s">
        <v>131</v>
      </c>
      <c r="C77" s="40"/>
      <c r="D77" s="41">
        <f>348</f>
        <v>348</v>
      </c>
      <c r="E77" s="42"/>
      <c r="F77" s="43">
        <v>357</v>
      </c>
      <c r="G77" s="43">
        <v>1203.88383</v>
      </c>
      <c r="H77" s="44">
        <v>357</v>
      </c>
      <c r="I77" s="27">
        <f t="shared" si="19"/>
        <v>2657.277</v>
      </c>
      <c r="J77" s="44">
        <v>448.27699999999999</v>
      </c>
      <c r="K77" s="44">
        <v>2209</v>
      </c>
      <c r="L77" s="28">
        <f t="shared" si="20"/>
        <v>91.276999999999987</v>
      </c>
      <c r="M77" s="28">
        <f t="shared" si="21"/>
        <v>125.56778711484593</v>
      </c>
      <c r="N77" s="45"/>
      <c r="O77" s="45"/>
    </row>
    <row r="78" spans="1:15" s="46" customFormat="1" ht="17.25" hidden="1" customHeight="1">
      <c r="A78" s="38" t="s">
        <v>45</v>
      </c>
      <c r="B78" s="39" t="s">
        <v>132</v>
      </c>
      <c r="C78" s="40"/>
      <c r="D78" s="41">
        <f>486</f>
        <v>486</v>
      </c>
      <c r="E78" s="42"/>
      <c r="F78" s="43">
        <v>520</v>
      </c>
      <c r="G78" s="43">
        <f>458.27479</f>
        <v>458.27479</v>
      </c>
      <c r="H78" s="44">
        <v>556</v>
      </c>
      <c r="I78" s="27">
        <f t="shared" si="19"/>
        <v>481.68599999999998</v>
      </c>
      <c r="J78" s="44">
        <v>256.68599999999998</v>
      </c>
      <c r="K78" s="44">
        <v>225</v>
      </c>
      <c r="L78" s="28">
        <f t="shared" si="20"/>
        <v>-299.31400000000002</v>
      </c>
      <c r="M78" s="28">
        <f t="shared" si="21"/>
        <v>46.166546762589924</v>
      </c>
      <c r="N78" s="45"/>
      <c r="O78" s="45"/>
    </row>
    <row r="79" spans="1:15" s="46" customFormat="1" ht="20.25" hidden="1" customHeight="1">
      <c r="A79" s="38" t="s">
        <v>45</v>
      </c>
      <c r="B79" s="39" t="s">
        <v>133</v>
      </c>
      <c r="C79" s="40"/>
      <c r="D79" s="41">
        <f>130</f>
        <v>130</v>
      </c>
      <c r="E79" s="42"/>
      <c r="F79" s="43">
        <v>139</v>
      </c>
      <c r="G79" s="43">
        <v>76.197000000000003</v>
      </c>
      <c r="H79" s="44">
        <v>149</v>
      </c>
      <c r="I79" s="27">
        <f t="shared" si="19"/>
        <v>71.50200000000001</v>
      </c>
      <c r="J79" s="44">
        <v>36.502000000000002</v>
      </c>
      <c r="K79" s="44">
        <v>35</v>
      </c>
      <c r="L79" s="28">
        <f t="shared" si="20"/>
        <v>-112.49799999999999</v>
      </c>
      <c r="M79" s="28">
        <f t="shared" si="21"/>
        <v>24.497986577181212</v>
      </c>
      <c r="N79" s="45"/>
      <c r="O79" s="45"/>
    </row>
    <row r="80" spans="1:15">
      <c r="A80" s="21" t="s">
        <v>134</v>
      </c>
      <c r="B80" s="22" t="s">
        <v>108</v>
      </c>
      <c r="C80" s="23" t="s">
        <v>20</v>
      </c>
      <c r="D80" s="24">
        <v>972</v>
      </c>
      <c r="E80" s="25">
        <v>255.39</v>
      </c>
      <c r="F80" s="26">
        <v>1040</v>
      </c>
      <c r="G80" s="48">
        <f>3.516+328.44+101.866+229.685+90.748</f>
        <v>754.25500000000011</v>
      </c>
      <c r="H80" s="27">
        <v>1113</v>
      </c>
      <c r="I80" s="27">
        <f t="shared" si="19"/>
        <v>836.69</v>
      </c>
      <c r="J80" s="27">
        <f>179+80.6+203.72+69.37</f>
        <v>532.69000000000005</v>
      </c>
      <c r="K80" s="27">
        <v>304</v>
      </c>
      <c r="L80" s="28">
        <f t="shared" si="20"/>
        <v>-580.30999999999995</v>
      </c>
      <c r="M80" s="28">
        <f t="shared" si="21"/>
        <v>47.860736747529202</v>
      </c>
    </row>
    <row r="81" spans="1:17" ht="17.25" customHeight="1">
      <c r="A81" s="21" t="s">
        <v>135</v>
      </c>
      <c r="B81" s="22" t="s">
        <v>55</v>
      </c>
      <c r="C81" s="23" t="s">
        <v>20</v>
      </c>
      <c r="D81" s="24">
        <v>1697</v>
      </c>
      <c r="E81" s="25">
        <v>1779.43</v>
      </c>
      <c r="F81" s="26">
        <v>1816</v>
      </c>
      <c r="G81" s="49">
        <v>1815.5996500000001</v>
      </c>
      <c r="H81" s="27">
        <v>1943</v>
      </c>
      <c r="I81" s="27">
        <f t="shared" si="19"/>
        <v>1872.2049999999999</v>
      </c>
      <c r="J81" s="27">
        <f>1386.205</f>
        <v>1386.2049999999999</v>
      </c>
      <c r="K81" s="27">
        <v>486</v>
      </c>
      <c r="L81" s="28">
        <f t="shared" si="20"/>
        <v>-556.79500000000007</v>
      </c>
      <c r="M81" s="28">
        <f t="shared" si="21"/>
        <v>71.343540916109106</v>
      </c>
    </row>
    <row r="82" spans="1:17" ht="30">
      <c r="A82" s="21" t="s">
        <v>136</v>
      </c>
      <c r="B82" s="22" t="s">
        <v>137</v>
      </c>
      <c r="C82" s="23" t="s">
        <v>20</v>
      </c>
      <c r="D82" s="24">
        <v>8309</v>
      </c>
      <c r="E82" s="25">
        <v>18190.2</v>
      </c>
      <c r="F82" s="26">
        <v>8891</v>
      </c>
      <c r="G82" s="26">
        <f>4290.84314+1922.951+414.05123+1457.27853-40.17857-83.57143+266.64</f>
        <v>8228.0138999999999</v>
      </c>
      <c r="H82" s="27">
        <v>9513</v>
      </c>
      <c r="I82" s="27">
        <f t="shared" si="19"/>
        <v>9519.6859999999997</v>
      </c>
      <c r="J82" s="27">
        <f>1003.927+73.876+5550.211+87.53+207+2232.142</f>
        <v>9154.6859999999997</v>
      </c>
      <c r="K82" s="27">
        <v>365</v>
      </c>
      <c r="L82" s="28">
        <f t="shared" si="20"/>
        <v>-358.31400000000031</v>
      </c>
      <c r="M82" s="28">
        <f t="shared" si="21"/>
        <v>96.233427940712701</v>
      </c>
    </row>
    <row r="83" spans="1:17">
      <c r="A83" s="21" t="s">
        <v>138</v>
      </c>
      <c r="B83" s="22" t="s">
        <v>139</v>
      </c>
      <c r="C83" s="23" t="s">
        <v>20</v>
      </c>
      <c r="D83" s="24">
        <v>2000</v>
      </c>
      <c r="E83" s="25">
        <v>2742.58</v>
      </c>
      <c r="F83" s="26">
        <v>2140</v>
      </c>
      <c r="G83" s="26">
        <v>2929.6642000000002</v>
      </c>
      <c r="H83" s="27">
        <v>2290</v>
      </c>
      <c r="I83" s="27">
        <f t="shared" si="19"/>
        <v>2499.8580000000002</v>
      </c>
      <c r="J83" s="27">
        <v>1758.8579999999999</v>
      </c>
      <c r="K83" s="27">
        <v>741</v>
      </c>
      <c r="L83" s="28">
        <f t="shared" si="20"/>
        <v>-531.14200000000005</v>
      </c>
      <c r="M83" s="28">
        <f t="shared" si="21"/>
        <v>76.806026200873362</v>
      </c>
    </row>
    <row r="84" spans="1:17" s="20" customFormat="1">
      <c r="A84" s="29" t="s">
        <v>140</v>
      </c>
      <c r="B84" s="17" t="s">
        <v>141</v>
      </c>
      <c r="C84" s="13" t="s">
        <v>20</v>
      </c>
      <c r="D84" s="50">
        <f t="shared" ref="D84:G84" si="22">D85+D92+D86+D90+D94+D88+D95+D91+D89+D87+D93+D97+D96</f>
        <v>23500.3</v>
      </c>
      <c r="E84" s="32">
        <f t="shared" si="22"/>
        <v>23728.629999999997</v>
      </c>
      <c r="F84" s="32">
        <f t="shared" si="22"/>
        <v>25144</v>
      </c>
      <c r="G84" s="32">
        <f t="shared" si="22"/>
        <v>23177.004300000008</v>
      </c>
      <c r="H84" s="32">
        <f>SUM(H85:H98)</f>
        <v>26905</v>
      </c>
      <c r="I84" s="32">
        <f>SUM(I85:I98)</f>
        <v>28454.212999999996</v>
      </c>
      <c r="J84" s="32">
        <v>12677.562000000002</v>
      </c>
      <c r="K84" s="32">
        <f>SUM(K85:K98)</f>
        <v>6668</v>
      </c>
      <c r="L84" s="19">
        <f t="shared" si="20"/>
        <v>-14227.437999999998</v>
      </c>
      <c r="M84" s="19">
        <f t="shared" si="21"/>
        <v>47.119724958186218</v>
      </c>
      <c r="N84" s="11"/>
      <c r="O84" s="12"/>
    </row>
    <row r="85" spans="1:17">
      <c r="A85" s="21" t="s">
        <v>142</v>
      </c>
      <c r="B85" s="22" t="s">
        <v>143</v>
      </c>
      <c r="C85" s="23" t="s">
        <v>20</v>
      </c>
      <c r="D85" s="24">
        <v>13976</v>
      </c>
      <c r="E85" s="25">
        <v>14786.45</v>
      </c>
      <c r="F85" s="26">
        <v>14954</v>
      </c>
      <c r="G85" s="26">
        <v>13601.996510000001</v>
      </c>
      <c r="H85" s="27">
        <v>16002</v>
      </c>
      <c r="I85" s="27">
        <f t="shared" ref="I85:I97" si="23">J85+K85</f>
        <v>15385.574000000001</v>
      </c>
      <c r="J85" s="27">
        <v>11353.574000000001</v>
      </c>
      <c r="K85" s="27">
        <v>4032</v>
      </c>
      <c r="L85" s="28">
        <f t="shared" si="20"/>
        <v>-4648.4259999999995</v>
      </c>
      <c r="M85" s="28">
        <f t="shared" si="21"/>
        <v>70.950968628921387</v>
      </c>
    </row>
    <row r="86" spans="1:17">
      <c r="A86" s="21" t="s">
        <v>144</v>
      </c>
      <c r="B86" s="22" t="s">
        <v>145</v>
      </c>
      <c r="C86" s="23" t="s">
        <v>20</v>
      </c>
      <c r="D86" s="24">
        <v>2236.3000000000002</v>
      </c>
      <c r="E86" s="25">
        <v>1626.43</v>
      </c>
      <c r="F86" s="26">
        <v>2392</v>
      </c>
      <c r="G86" s="26">
        <f>40.17857+83.57143+1288.06986</f>
        <v>1411.8198600000001</v>
      </c>
      <c r="H86" s="27">
        <v>2560</v>
      </c>
      <c r="I86" s="27">
        <f t="shared" si="23"/>
        <v>3568.6990000000001</v>
      </c>
      <c r="J86" s="27">
        <f>2134.253+1113.446</f>
        <v>3247.6990000000001</v>
      </c>
      <c r="K86" s="27">
        <v>321</v>
      </c>
      <c r="L86" s="28">
        <f t="shared" si="20"/>
        <v>687.69900000000007</v>
      </c>
      <c r="M86" s="28">
        <f t="shared" si="21"/>
        <v>126.86324218750001</v>
      </c>
    </row>
    <row r="87" spans="1:17" ht="17.25" customHeight="1">
      <c r="A87" s="21" t="s">
        <v>146</v>
      </c>
      <c r="B87" s="22" t="s">
        <v>147</v>
      </c>
      <c r="C87" s="23" t="s">
        <v>20</v>
      </c>
      <c r="D87" s="24">
        <v>3569</v>
      </c>
      <c r="E87" s="25">
        <v>3503.57</v>
      </c>
      <c r="F87" s="26">
        <v>3817</v>
      </c>
      <c r="G87" s="26">
        <v>3974.3749800000001</v>
      </c>
      <c r="H87" s="27">
        <v>4085</v>
      </c>
      <c r="I87" s="27">
        <f t="shared" si="23"/>
        <v>5498.0529999999999</v>
      </c>
      <c r="J87" s="27">
        <v>4212.0529999999999</v>
      </c>
      <c r="K87" s="27">
        <v>1286</v>
      </c>
      <c r="L87" s="28">
        <f t="shared" si="20"/>
        <v>127.05299999999988</v>
      </c>
      <c r="M87" s="28">
        <f t="shared" si="21"/>
        <v>103.11023255813953</v>
      </c>
    </row>
    <row r="88" spans="1:17" ht="20.25" customHeight="1">
      <c r="A88" s="21" t="s">
        <v>148</v>
      </c>
      <c r="B88" s="22" t="s">
        <v>149</v>
      </c>
      <c r="C88" s="23" t="s">
        <v>20</v>
      </c>
      <c r="D88" s="24">
        <v>796</v>
      </c>
      <c r="E88" s="25">
        <v>814.35</v>
      </c>
      <c r="F88" s="26">
        <v>852</v>
      </c>
      <c r="G88" s="26">
        <v>859.82784000000004</v>
      </c>
      <c r="H88" s="27">
        <v>911</v>
      </c>
      <c r="I88" s="27">
        <f t="shared" si="23"/>
        <v>752.85699999999997</v>
      </c>
      <c r="J88" s="27">
        <v>522.85699999999997</v>
      </c>
      <c r="K88" s="27">
        <v>230</v>
      </c>
      <c r="L88" s="28">
        <f t="shared" si="20"/>
        <v>-388.14300000000003</v>
      </c>
      <c r="M88" s="28">
        <f t="shared" si="21"/>
        <v>57.393743139407235</v>
      </c>
    </row>
    <row r="89" spans="1:17">
      <c r="A89" s="21" t="s">
        <v>150</v>
      </c>
      <c r="B89" s="22" t="s">
        <v>151</v>
      </c>
      <c r="C89" s="23" t="s">
        <v>20</v>
      </c>
      <c r="D89" s="24">
        <v>241</v>
      </c>
      <c r="E89" s="25">
        <v>488.85</v>
      </c>
      <c r="F89" s="26">
        <v>258</v>
      </c>
      <c r="G89" s="26">
        <v>455.33046999999999</v>
      </c>
      <c r="H89" s="27">
        <v>276</v>
      </c>
      <c r="I89" s="27">
        <f t="shared" si="23"/>
        <v>437.11099999999999</v>
      </c>
      <c r="J89" s="27">
        <v>396.11099999999999</v>
      </c>
      <c r="K89" s="27">
        <v>41</v>
      </c>
      <c r="L89" s="28">
        <f t="shared" si="20"/>
        <v>120.11099999999999</v>
      </c>
      <c r="M89" s="28">
        <f t="shared" si="21"/>
        <v>143.51847826086956</v>
      </c>
    </row>
    <row r="90" spans="1:17">
      <c r="A90" s="21" t="s">
        <v>152</v>
      </c>
      <c r="B90" s="22" t="s">
        <v>106</v>
      </c>
      <c r="C90" s="23" t="s">
        <v>20</v>
      </c>
      <c r="D90" s="24">
        <v>716</v>
      </c>
      <c r="E90" s="25">
        <v>496.68</v>
      </c>
      <c r="F90" s="26">
        <v>767</v>
      </c>
      <c r="G90" s="26">
        <v>817.14856999999995</v>
      </c>
      <c r="H90" s="27">
        <v>820</v>
      </c>
      <c r="I90" s="27">
        <f t="shared" si="23"/>
        <v>701.07799999999997</v>
      </c>
      <c r="J90" s="27">
        <v>393.07799999999997</v>
      </c>
      <c r="K90" s="27">
        <v>308</v>
      </c>
      <c r="L90" s="28">
        <f t="shared" si="20"/>
        <v>-426.92200000000003</v>
      </c>
      <c r="M90" s="28">
        <f t="shared" si="21"/>
        <v>47.936341463414635</v>
      </c>
      <c r="Q90" s="51"/>
    </row>
    <row r="91" spans="1:17" ht="20.25" customHeight="1">
      <c r="A91" s="21" t="s">
        <v>153</v>
      </c>
      <c r="B91" s="22" t="s">
        <v>154</v>
      </c>
      <c r="C91" s="23" t="s">
        <v>20</v>
      </c>
      <c r="D91" s="24">
        <v>180</v>
      </c>
      <c r="E91" s="25">
        <v>184.95</v>
      </c>
      <c r="F91" s="26">
        <v>193</v>
      </c>
      <c r="G91" s="26">
        <v>193.8</v>
      </c>
      <c r="H91" s="27">
        <v>206</v>
      </c>
      <c r="I91" s="27">
        <f t="shared" si="23"/>
        <v>211.6</v>
      </c>
      <c r="J91" s="27">
        <v>211.6</v>
      </c>
      <c r="K91" s="27">
        <v>0</v>
      </c>
      <c r="L91" s="28">
        <f t="shared" si="20"/>
        <v>5.5999999999999943</v>
      </c>
      <c r="M91" s="28">
        <f t="shared" si="21"/>
        <v>102.71844660194174</v>
      </c>
    </row>
    <row r="92" spans="1:17" ht="18" customHeight="1">
      <c r="A92" s="21" t="s">
        <v>155</v>
      </c>
      <c r="B92" s="22" t="s">
        <v>156</v>
      </c>
      <c r="C92" s="23" t="s">
        <v>20</v>
      </c>
      <c r="D92" s="24">
        <f>241+24</f>
        <v>265</v>
      </c>
      <c r="E92" s="25">
        <v>196.62</v>
      </c>
      <c r="F92" s="26">
        <v>284</v>
      </c>
      <c r="G92" s="26">
        <v>123.55643999999999</v>
      </c>
      <c r="H92" s="27">
        <v>303</v>
      </c>
      <c r="I92" s="27">
        <f t="shared" si="23"/>
        <v>225.602</v>
      </c>
      <c r="J92" s="27">
        <v>158.602</v>
      </c>
      <c r="K92" s="27">
        <v>67</v>
      </c>
      <c r="L92" s="28">
        <f t="shared" si="20"/>
        <v>-144.398</v>
      </c>
      <c r="M92" s="28">
        <f t="shared" si="21"/>
        <v>52.343894389438951</v>
      </c>
    </row>
    <row r="93" spans="1:17" ht="17.25" customHeight="1">
      <c r="A93" s="21" t="s">
        <v>157</v>
      </c>
      <c r="B93" s="22" t="s">
        <v>158</v>
      </c>
      <c r="C93" s="23" t="s">
        <v>20</v>
      </c>
      <c r="D93" s="24">
        <v>307</v>
      </c>
      <c r="E93" s="25">
        <v>322.63</v>
      </c>
      <c r="F93" s="26">
        <v>328</v>
      </c>
      <c r="G93" s="26">
        <v>324.61892</v>
      </c>
      <c r="H93" s="27">
        <v>351</v>
      </c>
      <c r="I93" s="27">
        <f t="shared" si="23"/>
        <v>344.42399999999998</v>
      </c>
      <c r="J93" s="27">
        <v>251.42400000000001</v>
      </c>
      <c r="K93" s="27">
        <v>93</v>
      </c>
      <c r="L93" s="28">
        <f t="shared" si="20"/>
        <v>-99.575999999999993</v>
      </c>
      <c r="M93" s="28">
        <f t="shared" si="21"/>
        <v>71.630769230769232</v>
      </c>
    </row>
    <row r="94" spans="1:17" ht="20.25" customHeight="1">
      <c r="A94" s="21" t="s">
        <v>159</v>
      </c>
      <c r="B94" s="22" t="s">
        <v>160</v>
      </c>
      <c r="C94" s="23" t="s">
        <v>20</v>
      </c>
      <c r="D94" s="24">
        <v>902</v>
      </c>
      <c r="E94" s="25">
        <v>1011.09</v>
      </c>
      <c r="F94" s="26">
        <v>965</v>
      </c>
      <c r="G94" s="26">
        <f>895.14286+172.51785</f>
        <v>1067.6607100000001</v>
      </c>
      <c r="H94" s="27">
        <v>1033</v>
      </c>
      <c r="I94" s="27">
        <f t="shared" si="23"/>
        <v>626.88699999999994</v>
      </c>
      <c r="J94" s="27">
        <f>460.387+19.5</f>
        <v>479.887</v>
      </c>
      <c r="K94" s="27">
        <v>147</v>
      </c>
      <c r="L94" s="28">
        <f t="shared" si="20"/>
        <v>-553.11300000000006</v>
      </c>
      <c r="M94" s="28">
        <f t="shared" si="21"/>
        <v>46.455663117134563</v>
      </c>
    </row>
    <row r="95" spans="1:17" ht="18" customHeight="1">
      <c r="A95" s="21" t="s">
        <v>161</v>
      </c>
      <c r="B95" s="22" t="s">
        <v>162</v>
      </c>
      <c r="C95" s="23" t="s">
        <v>20</v>
      </c>
      <c r="D95" s="24">
        <v>194</v>
      </c>
      <c r="E95" s="25">
        <v>228.02</v>
      </c>
      <c r="F95" s="26">
        <v>207</v>
      </c>
      <c r="G95" s="26">
        <v>310.88</v>
      </c>
      <c r="H95" s="27">
        <v>222</v>
      </c>
      <c r="I95" s="27">
        <f t="shared" si="23"/>
        <v>637.69000000000005</v>
      </c>
      <c r="J95" s="27">
        <v>541.69000000000005</v>
      </c>
      <c r="K95" s="27">
        <v>96</v>
      </c>
      <c r="L95" s="28">
        <f t="shared" si="20"/>
        <v>319.69000000000005</v>
      </c>
      <c r="M95" s="28">
        <f t="shared" si="21"/>
        <v>244.00450450450455</v>
      </c>
    </row>
    <row r="96" spans="1:17" ht="17.25" customHeight="1">
      <c r="A96" s="21" t="s">
        <v>163</v>
      </c>
      <c r="B96" s="22" t="s">
        <v>164</v>
      </c>
      <c r="C96" s="23" t="s">
        <v>20</v>
      </c>
      <c r="D96" s="24">
        <v>93</v>
      </c>
      <c r="E96" s="25">
        <v>43.98</v>
      </c>
      <c r="F96" s="26">
        <v>100</v>
      </c>
      <c r="G96" s="26">
        <v>35.99</v>
      </c>
      <c r="H96" s="27">
        <v>107</v>
      </c>
      <c r="I96" s="27">
        <f t="shared" si="23"/>
        <v>35.638000000000005</v>
      </c>
      <c r="J96" s="27">
        <v>17.638000000000002</v>
      </c>
      <c r="K96" s="27">
        <v>18</v>
      </c>
      <c r="L96" s="28">
        <f t="shared" si="20"/>
        <v>-89.361999999999995</v>
      </c>
      <c r="M96" s="28">
        <f t="shared" si="21"/>
        <v>16.484112149532713</v>
      </c>
    </row>
    <row r="97" spans="1:15" ht="20.25" customHeight="1">
      <c r="A97" s="21" t="s">
        <v>165</v>
      </c>
      <c r="B97" s="22" t="s">
        <v>166</v>
      </c>
      <c r="C97" s="23" t="s">
        <v>20</v>
      </c>
      <c r="D97" s="24">
        <v>25</v>
      </c>
      <c r="E97" s="52">
        <v>25.01</v>
      </c>
      <c r="F97" s="26">
        <v>27</v>
      </c>
      <c r="G97" s="53">
        <v>0</v>
      </c>
      <c r="H97" s="27">
        <v>29</v>
      </c>
      <c r="I97" s="27">
        <f t="shared" si="23"/>
        <v>29</v>
      </c>
      <c r="J97" s="27">
        <v>0</v>
      </c>
      <c r="K97" s="27">
        <v>29</v>
      </c>
      <c r="L97" s="28">
        <f t="shared" si="20"/>
        <v>-29</v>
      </c>
      <c r="M97" s="28">
        <f t="shared" si="21"/>
        <v>0</v>
      </c>
    </row>
    <row r="98" spans="1:15" ht="20.25" hidden="1" customHeight="1">
      <c r="A98" s="21" t="s">
        <v>167</v>
      </c>
      <c r="B98" s="22" t="s">
        <v>168</v>
      </c>
      <c r="C98" s="23" t="s">
        <v>20</v>
      </c>
      <c r="D98" s="24"/>
      <c r="E98" s="52"/>
      <c r="F98" s="26"/>
      <c r="G98" s="53"/>
      <c r="H98" s="27"/>
      <c r="I98" s="54"/>
      <c r="J98" s="54"/>
      <c r="K98" s="54"/>
      <c r="L98" s="19">
        <f t="shared" si="20"/>
        <v>0</v>
      </c>
      <c r="M98" s="19" t="e">
        <f t="shared" si="21"/>
        <v>#DIV/0!</v>
      </c>
    </row>
    <row r="99" spans="1:15">
      <c r="A99" s="29" t="s">
        <v>169</v>
      </c>
      <c r="B99" s="17" t="s">
        <v>170</v>
      </c>
      <c r="C99" s="13" t="s">
        <v>20</v>
      </c>
      <c r="D99" s="18">
        <f>D10+D66+D106</f>
        <v>3343067.6197193</v>
      </c>
      <c r="E99" s="55" t="e">
        <f>E10+E66+E106-0.4</f>
        <v>#REF!</v>
      </c>
      <c r="F99" s="18">
        <f t="shared" ref="F99:K99" si="24">F10+F66+F106</f>
        <v>3965407</v>
      </c>
      <c r="G99" s="56" t="e">
        <f t="shared" si="24"/>
        <v>#REF!</v>
      </c>
      <c r="H99" s="18">
        <f t="shared" si="24"/>
        <v>4286777</v>
      </c>
      <c r="I99" s="18">
        <f t="shared" si="24"/>
        <v>4669331.3486000001</v>
      </c>
      <c r="J99" s="18">
        <f t="shared" si="24"/>
        <v>2627475.2872000001</v>
      </c>
      <c r="K99" s="18">
        <f t="shared" si="24"/>
        <v>1128151.524</v>
      </c>
      <c r="L99" s="19">
        <f t="shared" si="20"/>
        <v>-1659301.7127999999</v>
      </c>
      <c r="M99" s="19">
        <f t="shared" si="21"/>
        <v>61.292558189987489</v>
      </c>
    </row>
    <row r="100" spans="1:15" ht="20.25" customHeight="1">
      <c r="A100" s="21" t="s">
        <v>171</v>
      </c>
      <c r="B100" s="22" t="s">
        <v>172</v>
      </c>
      <c r="C100" s="23" t="s">
        <v>20</v>
      </c>
      <c r="D100" s="24">
        <v>249100</v>
      </c>
      <c r="E100" s="52" t="e">
        <f>E102-E99</f>
        <v>#REF!</v>
      </c>
      <c r="F100" s="26">
        <f t="shared" ref="F100:G100" si="25">F102-F99</f>
        <v>98400</v>
      </c>
      <c r="G100" s="53" t="e">
        <f t="shared" si="25"/>
        <v>#REF!</v>
      </c>
      <c r="H100" s="27">
        <f>H102-H99</f>
        <v>152800</v>
      </c>
      <c r="I100" s="27">
        <f>I102-I99</f>
        <v>169521.00140000042</v>
      </c>
      <c r="J100" s="27">
        <f>J102-J99</f>
        <v>1968377.0127999997</v>
      </c>
      <c r="K100" s="27">
        <f>K102-K99</f>
        <v>-885151.52399999998</v>
      </c>
      <c r="L100" s="28">
        <f>J100-H100</f>
        <v>1815577.0127999997</v>
      </c>
      <c r="M100" s="28">
        <f t="shared" si="21"/>
        <v>1288.2048513089003</v>
      </c>
    </row>
    <row r="101" spans="1:15" ht="47.25" hidden="1" customHeight="1">
      <c r="A101" s="21" t="s">
        <v>173</v>
      </c>
      <c r="B101" s="22" t="s">
        <v>174</v>
      </c>
      <c r="C101" s="23" t="s">
        <v>20</v>
      </c>
      <c r="D101" s="27">
        <v>2863691.6519999998</v>
      </c>
      <c r="E101" s="57">
        <f>D102-D99</f>
        <v>249100</v>
      </c>
      <c r="F101" s="33"/>
      <c r="G101" s="58"/>
      <c r="H101" s="18"/>
      <c r="I101" s="18"/>
      <c r="J101" s="18"/>
      <c r="K101" s="18"/>
      <c r="L101" s="19">
        <f t="shared" si="20"/>
        <v>0</v>
      </c>
      <c r="M101" s="19" t="e">
        <f t="shared" si="21"/>
        <v>#DIV/0!</v>
      </c>
    </row>
    <row r="102" spans="1:15" s="20" customFormat="1">
      <c r="A102" s="29" t="s">
        <v>175</v>
      </c>
      <c r="B102" s="17" t="s">
        <v>176</v>
      </c>
      <c r="C102" s="13" t="s">
        <v>20</v>
      </c>
      <c r="D102" s="18">
        <f>D99+D100</f>
        <v>3592167.6197193</v>
      </c>
      <c r="E102" s="55">
        <v>3880247.4567</v>
      </c>
      <c r="F102" s="33">
        <v>4063807</v>
      </c>
      <c r="G102" s="58">
        <v>4350660.7377300002</v>
      </c>
      <c r="H102" s="18">
        <v>4439577</v>
      </c>
      <c r="I102" s="18">
        <f>I103*I107/1000</f>
        <v>4838852.3500000006</v>
      </c>
      <c r="J102" s="18">
        <v>4595852.3</v>
      </c>
      <c r="K102" s="18">
        <f>K103*K107/1000</f>
        <v>243000</v>
      </c>
      <c r="L102" s="19">
        <f t="shared" si="20"/>
        <v>156275.29999999981</v>
      </c>
      <c r="M102" s="19">
        <f t="shared" si="21"/>
        <v>103.52004932001404</v>
      </c>
      <c r="N102" s="11"/>
      <c r="O102" s="12"/>
    </row>
    <row r="103" spans="1:15" s="20" customFormat="1" ht="30" customHeight="1">
      <c r="A103" s="29" t="s">
        <v>177</v>
      </c>
      <c r="B103" s="17" t="s">
        <v>178</v>
      </c>
      <c r="C103" s="13" t="s">
        <v>179</v>
      </c>
      <c r="D103" s="18">
        <v>4112437</v>
      </c>
      <c r="E103" s="55">
        <v>4444727.9800000004</v>
      </c>
      <c r="F103" s="33">
        <v>4307560</v>
      </c>
      <c r="G103" s="58">
        <f>G102/943*1000</f>
        <v>4613638.1099999994</v>
      </c>
      <c r="H103" s="18">
        <v>4439233</v>
      </c>
      <c r="I103" s="18">
        <f>J103+K103</f>
        <v>4838852.3500000006</v>
      </c>
      <c r="J103" s="18">
        <v>4595852.3500000006</v>
      </c>
      <c r="K103" s="18">
        <v>243000</v>
      </c>
      <c r="L103" s="19">
        <f t="shared" si="20"/>
        <v>156619.35000000056</v>
      </c>
      <c r="M103" s="19">
        <f t="shared" si="21"/>
        <v>103.52807230438232</v>
      </c>
      <c r="N103" s="11"/>
      <c r="O103" s="12"/>
    </row>
    <row r="104" spans="1:15" s="20" customFormat="1" ht="15.75" hidden="1" customHeight="1">
      <c r="A104" s="95" t="s">
        <v>180</v>
      </c>
      <c r="B104" s="96" t="s">
        <v>181</v>
      </c>
      <c r="C104" s="13" t="s">
        <v>182</v>
      </c>
      <c r="D104" s="59">
        <v>14.7</v>
      </c>
      <c r="E104" s="60">
        <v>13.1</v>
      </c>
      <c r="F104" s="61">
        <v>14.6</v>
      </c>
      <c r="G104" s="62"/>
      <c r="H104" s="61">
        <v>14.5</v>
      </c>
      <c r="I104" s="61"/>
      <c r="J104" s="61"/>
      <c r="K104" s="61"/>
      <c r="L104" s="19">
        <f t="shared" si="20"/>
        <v>-14.5</v>
      </c>
      <c r="M104" s="19">
        <f t="shared" si="21"/>
        <v>0</v>
      </c>
      <c r="N104" s="11"/>
      <c r="O104" s="12"/>
    </row>
    <row r="105" spans="1:15" s="20" customFormat="1">
      <c r="A105" s="95"/>
      <c r="B105" s="96"/>
      <c r="C105" s="13" t="s">
        <v>179</v>
      </c>
      <c r="D105" s="18">
        <v>708708</v>
      </c>
      <c r="E105" s="55">
        <f>E106/1071*1000</f>
        <v>672150.95238095243</v>
      </c>
      <c r="F105" s="33">
        <v>736421</v>
      </c>
      <c r="G105" s="58">
        <f>((202428.98172/1071)+((613774.98386+44406)/1238))*1000</f>
        <v>720657.93378029077</v>
      </c>
      <c r="H105" s="18">
        <v>752852</v>
      </c>
      <c r="I105" s="18">
        <f>J105+K105</f>
        <v>742727.40299999993</v>
      </c>
      <c r="J105" s="18">
        <v>611129.40299999993</v>
      </c>
      <c r="K105" s="18">
        <f>43181+43170+45247</f>
        <v>131598</v>
      </c>
      <c r="L105" s="19">
        <f t="shared" si="20"/>
        <v>-141722.59700000007</v>
      </c>
      <c r="M105" s="19">
        <f t="shared" si="21"/>
        <v>81.175238028191458</v>
      </c>
      <c r="N105" s="11"/>
      <c r="O105" s="12"/>
    </row>
    <row r="106" spans="1:15" s="20" customFormat="1" ht="21">
      <c r="A106" s="95"/>
      <c r="B106" s="96"/>
      <c r="C106" s="13" t="s">
        <v>13</v>
      </c>
      <c r="D106" s="18">
        <v>759026.5</v>
      </c>
      <c r="E106" s="55">
        <v>719873.67</v>
      </c>
      <c r="F106" s="33">
        <v>907270</v>
      </c>
      <c r="G106" s="58">
        <f>808573.63453+63121.41551</f>
        <v>871695.05004</v>
      </c>
      <c r="H106" s="18">
        <v>1066791</v>
      </c>
      <c r="I106" s="18">
        <f>J106+K106</f>
        <v>919496.52</v>
      </c>
      <c r="J106" s="18">
        <f>706766.264+49811.932</f>
        <v>756578.196</v>
      </c>
      <c r="K106" s="18">
        <f>K105*1238/1000</f>
        <v>162918.32399999999</v>
      </c>
      <c r="L106" s="19">
        <f t="shared" si="20"/>
        <v>-310212.804</v>
      </c>
      <c r="M106" s="19">
        <f t="shared" si="21"/>
        <v>70.920939153029977</v>
      </c>
      <c r="N106" s="11"/>
      <c r="O106" s="12"/>
    </row>
    <row r="107" spans="1:15" s="66" customFormat="1" ht="25.5" customHeight="1">
      <c r="A107" s="29" t="s">
        <v>183</v>
      </c>
      <c r="B107" s="63" t="s">
        <v>184</v>
      </c>
      <c r="C107" s="13" t="s">
        <v>185</v>
      </c>
      <c r="D107" s="18">
        <f>D102/D103*1000</f>
        <v>873.48879015515615</v>
      </c>
      <c r="E107" s="55">
        <f>E102/E103*1000</f>
        <v>872.99998428700235</v>
      </c>
      <c r="F107" s="33">
        <f t="shared" ref="F107:G107" si="26">F102/F103*1000</f>
        <v>943.41274410571191</v>
      </c>
      <c r="G107" s="58">
        <f t="shared" si="26"/>
        <v>943.00000000000023</v>
      </c>
      <c r="H107" s="33">
        <f>H102/H103*1000</f>
        <v>1000.0774908638497</v>
      </c>
      <c r="I107" s="33">
        <v>1000</v>
      </c>
      <c r="J107" s="33">
        <v>1000</v>
      </c>
      <c r="K107" s="33">
        <v>1000</v>
      </c>
      <c r="L107" s="19">
        <f t="shared" ref="L107" si="27">I107-H107</f>
        <v>-7.7490863849675407E-2</v>
      </c>
      <c r="M107" s="19">
        <f t="shared" ref="M107" si="28">I107/H107*100</f>
        <v>99.992251514051901</v>
      </c>
      <c r="N107" s="64"/>
      <c r="O107" s="65"/>
    </row>
    <row r="108" spans="1:15">
      <c r="A108" s="67"/>
      <c r="B108" s="68" t="s">
        <v>186</v>
      </c>
      <c r="C108" s="69"/>
      <c r="D108" s="70"/>
      <c r="E108" s="70"/>
      <c r="F108" s="71"/>
      <c r="G108" s="71"/>
      <c r="H108" s="72"/>
      <c r="I108" s="72"/>
      <c r="J108" s="72"/>
      <c r="K108" s="72"/>
      <c r="L108" s="73"/>
      <c r="M108" s="72"/>
    </row>
    <row r="109" spans="1:15" ht="30">
      <c r="A109" s="21" t="s">
        <v>187</v>
      </c>
      <c r="B109" s="74" t="s">
        <v>188</v>
      </c>
      <c r="C109" s="23" t="s">
        <v>189</v>
      </c>
      <c r="D109" s="27">
        <f>D111+D112</f>
        <v>711</v>
      </c>
      <c r="E109" s="27">
        <f>E111+E112</f>
        <v>699</v>
      </c>
      <c r="F109" s="27">
        <f>F111+F112</f>
        <v>711</v>
      </c>
      <c r="G109" s="27"/>
      <c r="H109" s="27">
        <f>H111+H112</f>
        <v>711</v>
      </c>
      <c r="I109" s="27"/>
      <c r="J109" s="27">
        <v>682</v>
      </c>
      <c r="K109" s="27"/>
      <c r="L109" s="28">
        <f>J109-H109</f>
        <v>-29</v>
      </c>
      <c r="M109" s="28">
        <f>J109/H109*100</f>
        <v>95.9212376933896</v>
      </c>
    </row>
    <row r="110" spans="1:15">
      <c r="A110" s="21"/>
      <c r="B110" s="74" t="s">
        <v>190</v>
      </c>
      <c r="C110" s="23"/>
      <c r="D110" s="27"/>
      <c r="E110" s="27"/>
      <c r="F110" s="27"/>
      <c r="G110" s="26"/>
      <c r="H110" s="27"/>
      <c r="I110" s="27"/>
      <c r="J110" s="27"/>
      <c r="K110" s="27"/>
      <c r="L110" s="28"/>
      <c r="M110" s="27"/>
    </row>
    <row r="111" spans="1:15">
      <c r="A111" s="21" t="s">
        <v>191</v>
      </c>
      <c r="B111" s="74" t="s">
        <v>192</v>
      </c>
      <c r="C111" s="23" t="s">
        <v>20</v>
      </c>
      <c r="D111" s="27">
        <v>662</v>
      </c>
      <c r="E111" s="27">
        <v>650</v>
      </c>
      <c r="F111" s="27">
        <v>662</v>
      </c>
      <c r="G111" s="26"/>
      <c r="H111" s="27">
        <v>662</v>
      </c>
      <c r="I111" s="27"/>
      <c r="J111" s="27">
        <v>633</v>
      </c>
      <c r="K111" s="27"/>
      <c r="L111" s="28">
        <f t="shared" ref="L111:L115" si="29">J111-H111</f>
        <v>-29</v>
      </c>
      <c r="M111" s="28">
        <f t="shared" ref="M111:M115" si="30">J111/H111*100</f>
        <v>95.619335347432028</v>
      </c>
    </row>
    <row r="112" spans="1:15">
      <c r="A112" s="21" t="s">
        <v>193</v>
      </c>
      <c r="B112" s="74" t="s">
        <v>194</v>
      </c>
      <c r="C112" s="23" t="s">
        <v>20</v>
      </c>
      <c r="D112" s="27">
        <v>49</v>
      </c>
      <c r="E112" s="27">
        <v>49</v>
      </c>
      <c r="F112" s="27">
        <v>49</v>
      </c>
      <c r="G112" s="26"/>
      <c r="H112" s="27">
        <v>49</v>
      </c>
      <c r="I112" s="27"/>
      <c r="J112" s="27">
        <v>49</v>
      </c>
      <c r="K112" s="27"/>
      <c r="L112" s="28">
        <f t="shared" si="29"/>
        <v>0</v>
      </c>
      <c r="M112" s="28">
        <f t="shared" si="30"/>
        <v>100</v>
      </c>
    </row>
    <row r="113" spans="1:13" ht="34.5" customHeight="1">
      <c r="A113" s="21" t="s">
        <v>195</v>
      </c>
      <c r="B113" s="74" t="s">
        <v>196</v>
      </c>
      <c r="C113" s="23" t="s">
        <v>197</v>
      </c>
      <c r="D113" s="27">
        <f>(D16+D69)/12/D109*1000</f>
        <v>71030.948277074538</v>
      </c>
      <c r="E113" s="27">
        <f>(E16+E69)/12/E109*1000</f>
        <v>98443.729136862195</v>
      </c>
      <c r="F113" s="27">
        <f>(F16+F69)/12/F109*1000</f>
        <v>76713.431786216606</v>
      </c>
      <c r="G113" s="27"/>
      <c r="H113" s="27">
        <f>(H16+H69)/12/H109*1000</f>
        <v>82850.445382090955</v>
      </c>
      <c r="I113" s="27"/>
      <c r="J113" s="27">
        <f>(J16+J69)/12/J109*1000</f>
        <v>98645.943304007829</v>
      </c>
      <c r="K113" s="27"/>
      <c r="L113" s="28">
        <f t="shared" si="29"/>
        <v>15795.497921916874</v>
      </c>
      <c r="M113" s="28">
        <f t="shared" si="30"/>
        <v>119.06507303499814</v>
      </c>
    </row>
    <row r="114" spans="1:13" ht="30">
      <c r="A114" s="21" t="s">
        <v>198</v>
      </c>
      <c r="B114" s="74" t="s">
        <v>199</v>
      </c>
      <c r="C114" s="23" t="s">
        <v>20</v>
      </c>
      <c r="D114" s="27">
        <f>(D16/12)/D111*1000</f>
        <v>68503.138557401806</v>
      </c>
      <c r="E114" s="27">
        <f>E16/E111/12*1000</f>
        <v>94322.051282051296</v>
      </c>
      <c r="F114" s="27">
        <f>(F16/12)/F111*1000</f>
        <v>73983.383685800611</v>
      </c>
      <c r="G114" s="27"/>
      <c r="H114" s="27">
        <f>(H16/12)/H111*1000</f>
        <v>79902.06445115809</v>
      </c>
      <c r="I114" s="27"/>
      <c r="J114" s="27">
        <f>J16/J111/12*1000</f>
        <v>95740.007898894153</v>
      </c>
      <c r="K114" s="27"/>
      <c r="L114" s="28">
        <f t="shared" si="29"/>
        <v>15837.943447736063</v>
      </c>
      <c r="M114" s="28">
        <f t="shared" si="30"/>
        <v>119.82169491680325</v>
      </c>
    </row>
    <row r="115" spans="1:13" ht="30">
      <c r="A115" s="21" t="s">
        <v>200</v>
      </c>
      <c r="B115" s="74" t="s">
        <v>201</v>
      </c>
      <c r="C115" s="23" t="s">
        <v>20</v>
      </c>
      <c r="D115" s="27">
        <f>(D69/12)/D112*1000</f>
        <v>105182.17346938777</v>
      </c>
      <c r="E115" s="27">
        <f>E69/E112/12*1000</f>
        <v>153119.04761904763</v>
      </c>
      <c r="F115" s="27">
        <f>(F69/12)/F112*1000</f>
        <v>113596.93877551021</v>
      </c>
      <c r="G115" s="27"/>
      <c r="H115" s="27">
        <f>(H69/12)/H112*1000</f>
        <v>122683.67346938775</v>
      </c>
      <c r="I115" s="27"/>
      <c r="J115" s="27">
        <f>J69/J112/12*1000</f>
        <v>136185.88435374154</v>
      </c>
      <c r="K115" s="27"/>
      <c r="L115" s="28">
        <f t="shared" si="29"/>
        <v>13502.210884353786</v>
      </c>
      <c r="M115" s="28">
        <f t="shared" si="30"/>
        <v>111.00571127561068</v>
      </c>
    </row>
    <row r="116" spans="1:13" ht="47.25" hidden="1">
      <c r="A116" s="75">
        <v>10</v>
      </c>
      <c r="B116" s="76" t="s">
        <v>202</v>
      </c>
      <c r="C116" s="23" t="s">
        <v>13</v>
      </c>
      <c r="D116" s="77"/>
      <c r="E116" s="77"/>
      <c r="F116" s="78"/>
      <c r="G116" s="78"/>
      <c r="H116" s="18"/>
      <c r="I116" s="18"/>
      <c r="J116" s="18"/>
      <c r="K116" s="18"/>
      <c r="L116" s="19"/>
      <c r="M116" s="18"/>
    </row>
    <row r="117" spans="1:13" ht="31.5" hidden="1">
      <c r="A117" s="75">
        <v>11</v>
      </c>
      <c r="B117" s="76" t="s">
        <v>203</v>
      </c>
      <c r="C117" s="23" t="s">
        <v>20</v>
      </c>
      <c r="D117" s="77"/>
      <c r="E117" s="77"/>
      <c r="F117" s="78"/>
      <c r="G117" s="78"/>
      <c r="H117" s="18"/>
      <c r="I117" s="18"/>
      <c r="J117" s="18"/>
      <c r="K117" s="18"/>
      <c r="L117" s="19"/>
      <c r="M117" s="18"/>
    </row>
    <row r="118" spans="1:13" ht="47.25" hidden="1">
      <c r="A118" s="75">
        <v>12</v>
      </c>
      <c r="B118" s="76" t="s">
        <v>204</v>
      </c>
      <c r="C118" s="23" t="s">
        <v>20</v>
      </c>
      <c r="D118" s="77"/>
      <c r="E118" s="77"/>
      <c r="F118" s="78"/>
      <c r="G118" s="78"/>
      <c r="H118" s="18"/>
      <c r="I118" s="18"/>
      <c r="J118" s="18"/>
      <c r="K118" s="18"/>
      <c r="L118" s="19"/>
      <c r="M118" s="18"/>
    </row>
    <row r="119" spans="1:13" hidden="1">
      <c r="A119" s="75" t="s">
        <v>205</v>
      </c>
      <c r="B119" s="76" t="s">
        <v>206</v>
      </c>
      <c r="C119" s="23" t="s">
        <v>20</v>
      </c>
      <c r="D119" s="77"/>
      <c r="E119" s="77"/>
      <c r="F119" s="78"/>
      <c r="G119" s="78"/>
      <c r="H119" s="18"/>
      <c r="I119" s="18"/>
      <c r="J119" s="18"/>
      <c r="K119" s="18"/>
      <c r="L119" s="19"/>
      <c r="M119" s="18"/>
    </row>
    <row r="120" spans="1:13" hidden="1">
      <c r="A120" s="75" t="s">
        <v>207</v>
      </c>
      <c r="B120" s="76" t="s">
        <v>208</v>
      </c>
      <c r="C120" s="23" t="s">
        <v>20</v>
      </c>
      <c r="D120" s="77"/>
      <c r="E120" s="77"/>
      <c r="F120" s="78"/>
      <c r="G120" s="78"/>
      <c r="H120" s="18"/>
      <c r="I120" s="18"/>
      <c r="J120" s="18"/>
      <c r="K120" s="18"/>
      <c r="L120" s="19"/>
      <c r="M120" s="18"/>
    </row>
    <row r="121" spans="1:13" hidden="1">
      <c r="A121" s="75" t="s">
        <v>209</v>
      </c>
      <c r="B121" s="76" t="s">
        <v>210</v>
      </c>
      <c r="C121" s="23" t="s">
        <v>20</v>
      </c>
      <c r="D121" s="77"/>
      <c r="E121" s="77"/>
      <c r="F121" s="78"/>
      <c r="G121" s="78"/>
      <c r="H121" s="18"/>
      <c r="I121" s="18"/>
      <c r="J121" s="18"/>
      <c r="K121" s="18"/>
      <c r="L121" s="19"/>
      <c r="M121" s="18"/>
    </row>
    <row r="124" spans="1:13">
      <c r="D124" s="51">
        <f>D99/D103*1000</f>
        <v>812.91643366677715</v>
      </c>
      <c r="E124" s="51" t="e">
        <f t="shared" ref="E124:G124" si="31">E99/E103*1000</f>
        <v>#REF!</v>
      </c>
      <c r="F124" s="51">
        <f t="shared" si="31"/>
        <v>920.56918533926398</v>
      </c>
      <c r="G124" s="51" t="e">
        <f t="shared" si="31"/>
        <v>#REF!</v>
      </c>
      <c r="H124" s="51"/>
      <c r="I124" s="51"/>
      <c r="J124" s="51"/>
      <c r="K124" s="51"/>
      <c r="L124" s="80"/>
      <c r="M124" s="51"/>
    </row>
    <row r="125" spans="1:13">
      <c r="D125" s="51"/>
      <c r="F125" s="51"/>
      <c r="H125" s="51"/>
      <c r="I125" s="51"/>
      <c r="J125" s="51"/>
      <c r="K125" s="51"/>
      <c r="L125" s="80"/>
      <c r="M125" s="51"/>
    </row>
    <row r="126" spans="1:13">
      <c r="D126" s="81"/>
      <c r="F126" s="81"/>
      <c r="H126" s="81"/>
      <c r="I126" s="81"/>
      <c r="J126" s="81"/>
      <c r="K126" s="81"/>
      <c r="L126" s="82"/>
      <c r="M126" s="81"/>
    </row>
    <row r="127" spans="1:13">
      <c r="B127" s="83"/>
      <c r="C127" s="12"/>
      <c r="D127" s="20"/>
      <c r="E127" s="20"/>
    </row>
    <row r="128" spans="1:13">
      <c r="B128" s="20"/>
      <c r="C128" s="12"/>
      <c r="E128" s="20"/>
      <c r="H128" s="81"/>
      <c r="I128" s="81"/>
      <c r="J128" s="81"/>
      <c r="K128" s="81"/>
      <c r="L128" s="82"/>
      <c r="M128" s="81"/>
    </row>
    <row r="129" spans="1:13">
      <c r="B129" s="83"/>
      <c r="C129" s="12"/>
      <c r="D129" s="20"/>
      <c r="E129" s="20"/>
      <c r="H129" s="81"/>
      <c r="I129" s="81"/>
      <c r="J129" s="81"/>
      <c r="K129" s="81"/>
      <c r="L129" s="82"/>
      <c r="M129" s="81"/>
    </row>
    <row r="130" spans="1:13">
      <c r="B130" s="83"/>
      <c r="C130" s="12"/>
      <c r="D130" s="20"/>
      <c r="E130" s="20"/>
    </row>
    <row r="133" spans="1:13">
      <c r="D133" s="84"/>
    </row>
    <row r="134" spans="1:13">
      <c r="A134" s="88"/>
      <c r="B134" s="88"/>
    </row>
    <row r="135" spans="1:13">
      <c r="D135" s="85"/>
      <c r="E135" s="85"/>
      <c r="F135" s="86"/>
      <c r="G135" s="85"/>
      <c r="H135" s="85"/>
      <c r="I135" s="85"/>
      <c r="J135" s="85"/>
      <c r="K135" s="85"/>
      <c r="L135" s="87"/>
      <c r="M135" s="85"/>
    </row>
  </sheetData>
  <mergeCells count="18">
    <mergeCell ref="L7:M7"/>
    <mergeCell ref="A104:A106"/>
    <mergeCell ref="B104:B106"/>
    <mergeCell ref="A1:B1"/>
    <mergeCell ref="A3:M3"/>
    <mergeCell ref="A4:M4"/>
    <mergeCell ref="A5:M5"/>
    <mergeCell ref="A7:A9"/>
    <mergeCell ref="B7:B9"/>
    <mergeCell ref="C7:C9"/>
    <mergeCell ref="D7:D9"/>
    <mergeCell ref="E7:E9"/>
    <mergeCell ref="F7:F9"/>
    <mergeCell ref="A134:B134"/>
    <mergeCell ref="G7:G9"/>
    <mergeCell ref="H7:H9"/>
    <mergeCell ref="I7:I9"/>
    <mergeCell ref="J7:J9"/>
  </mergeCells>
  <pageMargins left="0.11811023622047245" right="0.19685039370078741" top="0" bottom="0.35433070866141736" header="0.31496062992125984" footer="0.27559055118110237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работы по 12 мес.</vt:lpstr>
      <vt:lpstr>'для работы по 12 мес.'!Область_печати</vt:lpstr>
    </vt:vector>
  </TitlesOfParts>
  <Company>tranzit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2015-08-03T10:53:29Z</dcterms:created>
  <dcterms:modified xsi:type="dcterms:W3CDTF">2015-08-03T11:10:59Z</dcterms:modified>
</cp:coreProperties>
</file>