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45.130.2\для обмена\Отдел по внедрению государственного языка\Жагыпарова Жанар\ФЭС\размещение на сайте 2018г\"/>
    </mc:Choice>
  </mc:AlternateContent>
  <bookViews>
    <workbookView xWindow="0" yWindow="0" windowWidth="28800" windowHeight="12480"/>
  </bookViews>
  <sheets>
    <sheet name="тарифсмета (2)" sheetId="2" r:id="rId1"/>
  </sheets>
  <externalReferences>
    <externalReference r:id="rId2"/>
    <externalReference r:id="rId3"/>
  </externalReferences>
  <definedNames>
    <definedName name="_GoBack" localSheetId="0">'тарифсмета (2)'!$C$4</definedName>
    <definedName name="Excel_BuiltIn_Print_Area_5" localSheetId="0">#REF!</definedName>
    <definedName name="Excel_BuiltIn_Print_Area_5">#REF!</definedName>
    <definedName name="_xlnm.Print_Titles" localSheetId="0">'тарифсмета (2)'!$4:$5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5" i="2" l="1"/>
  <c r="E114" i="2" l="1"/>
  <c r="F114" i="2" s="1"/>
  <c r="F110" i="2"/>
  <c r="F109" i="2"/>
  <c r="D107" i="2"/>
  <c r="F107" i="2" s="1"/>
  <c r="E104" i="2"/>
  <c r="F104" i="2" s="1"/>
  <c r="E103" i="2"/>
  <c r="F103" i="2" s="1"/>
  <c r="E101" i="2"/>
  <c r="F101" i="2" s="1"/>
  <c r="E100" i="2"/>
  <c r="F97" i="2"/>
  <c r="F96" i="2"/>
  <c r="E94" i="2"/>
  <c r="F94" i="2" s="1"/>
  <c r="E93" i="2"/>
  <c r="F92" i="2"/>
  <c r="F91" i="2"/>
  <c r="F90" i="2"/>
  <c r="F89" i="2"/>
  <c r="E89" i="2"/>
  <c r="F88" i="2"/>
  <c r="F87" i="2"/>
  <c r="E86" i="2"/>
  <c r="F85" i="2"/>
  <c r="D83" i="2"/>
  <c r="F82" i="2"/>
  <c r="E81" i="2"/>
  <c r="F81" i="2" s="1"/>
  <c r="E80" i="2"/>
  <c r="F80" i="2" s="1"/>
  <c r="E79" i="2"/>
  <c r="F79" i="2" s="1"/>
  <c r="E78" i="2"/>
  <c r="F77" i="2"/>
  <c r="E76" i="2"/>
  <c r="F76" i="2" s="1"/>
  <c r="E75" i="2"/>
  <c r="F74" i="2"/>
  <c r="D73" i="2"/>
  <c r="D70" i="2" s="1"/>
  <c r="F72" i="2"/>
  <c r="E70" i="2"/>
  <c r="F66" i="2"/>
  <c r="F65" i="2"/>
  <c r="E64" i="2"/>
  <c r="F64" i="2" s="1"/>
  <c r="F63" i="2"/>
  <c r="F62" i="2"/>
  <c r="E53" i="2"/>
  <c r="F53" i="2" s="1"/>
  <c r="D51" i="2"/>
  <c r="E50" i="2"/>
  <c r="E49" i="2"/>
  <c r="F49" i="2" s="1"/>
  <c r="E48" i="2"/>
  <c r="F48" i="2" s="1"/>
  <c r="E47" i="2"/>
  <c r="F47" i="2" s="1"/>
  <c r="F46" i="2"/>
  <c r="F45" i="2"/>
  <c r="F44" i="2"/>
  <c r="E43" i="2"/>
  <c r="F43" i="2" s="1"/>
  <c r="F42" i="2"/>
  <c r="E41" i="2"/>
  <c r="E40" i="2"/>
  <c r="F40" i="2" s="1"/>
  <c r="E39" i="2"/>
  <c r="F39" i="2" s="1"/>
  <c r="F37" i="2"/>
  <c r="F36" i="2"/>
  <c r="F35" i="2"/>
  <c r="E34" i="2"/>
  <c r="F34" i="2" s="1"/>
  <c r="E33" i="2"/>
  <c r="F33" i="2" s="1"/>
  <c r="E32" i="2"/>
  <c r="F32" i="2" s="1"/>
  <c r="E31" i="2"/>
  <c r="E30" i="2"/>
  <c r="F30" i="2" s="1"/>
  <c r="E27" i="2"/>
  <c r="F27" i="2" s="1"/>
  <c r="F26" i="2"/>
  <c r="E25" i="2"/>
  <c r="F25" i="2" s="1"/>
  <c r="D23" i="2"/>
  <c r="F22" i="2"/>
  <c r="E20" i="2"/>
  <c r="F20" i="2" s="1"/>
  <c r="E19" i="2"/>
  <c r="F19" i="2" s="1"/>
  <c r="F18" i="2"/>
  <c r="F17" i="2"/>
  <c r="E16" i="2"/>
  <c r="D16" i="2"/>
  <c r="D13" i="2" s="1"/>
  <c r="E15" i="2"/>
  <c r="E113" i="2" s="1"/>
  <c r="F12" i="2"/>
  <c r="F11" i="2"/>
  <c r="E10" i="2"/>
  <c r="F10" i="2" s="1"/>
  <c r="D8" i="2"/>
  <c r="D68" i="2" l="1"/>
  <c r="D67" i="2" s="1"/>
  <c r="D6" i="2"/>
  <c r="D98" i="2" s="1"/>
  <c r="D100" i="2" s="1"/>
  <c r="D105" i="2" s="1"/>
  <c r="E111" i="2"/>
  <c r="F111" i="2" s="1"/>
  <c r="E51" i="2"/>
  <c r="F51" i="2" s="1"/>
  <c r="F16" i="2"/>
  <c r="F70" i="2"/>
  <c r="E13" i="2"/>
  <c r="F73" i="2"/>
  <c r="F15" i="2"/>
  <c r="E8" i="2"/>
  <c r="F13" i="2"/>
  <c r="F41" i="2"/>
  <c r="F50" i="2"/>
  <c r="F75" i="2"/>
  <c r="F78" i="2"/>
  <c r="F86" i="2"/>
  <c r="F93" i="2"/>
  <c r="F113" i="2"/>
  <c r="E23" i="2"/>
  <c r="E83" i="2"/>
  <c r="F100" i="2" l="1"/>
  <c r="E6" i="2"/>
  <c r="F8" i="2"/>
  <c r="F83" i="2"/>
  <c r="F23" i="2"/>
  <c r="E68" i="2"/>
  <c r="F6" i="2" l="1"/>
  <c r="F68" i="2"/>
  <c r="E67" i="2"/>
  <c r="F67" i="2" l="1"/>
  <c r="E98" i="2"/>
  <c r="E99" i="2" l="1"/>
  <c r="F98" i="2"/>
  <c r="F99" i="2" l="1"/>
</calcChain>
</file>

<file path=xl/sharedStrings.xml><?xml version="1.0" encoding="utf-8"?>
<sst xmlns="http://schemas.openxmlformats.org/spreadsheetml/2006/main" count="333" uniqueCount="217">
  <si>
    <t>№ п/п</t>
  </si>
  <si>
    <t>Наименование показателей</t>
  </si>
  <si>
    <t>Ед. изм</t>
  </si>
  <si>
    <t>Утвержденная тарифная смета на 2018 год</t>
  </si>
  <si>
    <t>Причины отклонения</t>
  </si>
  <si>
    <t>тыс. тенге</t>
  </si>
  <si>
    <t>I</t>
  </si>
  <si>
    <t>Затраты на производство товаров и предоставление услуг, всего</t>
  </si>
  <si>
    <t>в том числе:</t>
  </si>
  <si>
    <t>Материальные затраты всего,</t>
  </si>
  <si>
    <t>1.1</t>
  </si>
  <si>
    <t>Сырье и материалы</t>
  </si>
  <si>
    <t>-//-</t>
  </si>
  <si>
    <t>1.2</t>
  </si>
  <si>
    <t>ГСМ</t>
  </si>
  <si>
    <t>1.3</t>
  </si>
  <si>
    <t>Энергия</t>
  </si>
  <si>
    <r>
      <t>-</t>
    </r>
    <r>
      <rPr>
        <sz val="12"/>
        <color theme="1"/>
        <rFont val="Times New Roman"/>
        <family val="1"/>
        <charset val="204"/>
      </rPr>
      <t>//-</t>
    </r>
  </si>
  <si>
    <t>Расходы на оплату труда всего,</t>
  </si>
  <si>
    <t>2.1</t>
  </si>
  <si>
    <t>Заработная плата производственного персонала</t>
  </si>
  <si>
    <t>2.2</t>
  </si>
  <si>
    <t>Социальный налог и социальные отчисления</t>
  </si>
  <si>
    <t>2.3</t>
  </si>
  <si>
    <t>Обязательные профессиональные пенсионные взносы</t>
  </si>
  <si>
    <t>2.4</t>
  </si>
  <si>
    <t>Обязательное социальное медицинское страхование</t>
  </si>
  <si>
    <t>Амортизация</t>
  </si>
  <si>
    <t>Ремонт, всего</t>
  </si>
  <si>
    <t>4.1</t>
  </si>
  <si>
    <t>Капитальный ремонт, не приводящий к увеличению стоимости основных фондов</t>
  </si>
  <si>
    <t xml:space="preserve">Услуги производственного характера, всего </t>
  </si>
  <si>
    <t>5.1</t>
  </si>
  <si>
    <t>Услуги автотранспорта и механизмов</t>
  </si>
  <si>
    <t>5.2</t>
  </si>
  <si>
    <t>Услуги водоснабжения и канализации</t>
  </si>
  <si>
    <t>5.3</t>
  </si>
  <si>
    <t>Поверка средств измерений, защитных средств, допуск бригады</t>
  </si>
  <si>
    <t>5.4</t>
  </si>
  <si>
    <t>Испытание тепловых сетей на тепловые потери</t>
  </si>
  <si>
    <t>5.5</t>
  </si>
  <si>
    <t>Топогеодезические работы</t>
  </si>
  <si>
    <t>5.6</t>
  </si>
  <si>
    <t>Восстановление благоустройства (замена асфальта, брусчатки, газона)</t>
  </si>
  <si>
    <t>5.7</t>
  </si>
  <si>
    <t>Услуги связи</t>
  </si>
  <si>
    <t>5.8</t>
  </si>
  <si>
    <t>Обслуживание, ремонт основных средств</t>
  </si>
  <si>
    <t>5.9</t>
  </si>
  <si>
    <t>Информационное обслуживание</t>
  </si>
  <si>
    <t>5.10</t>
  </si>
  <si>
    <t>Расходы по экологии</t>
  </si>
  <si>
    <t>5.11</t>
  </si>
  <si>
    <t>Расходы по энергоаудиту, энергоменеджменту</t>
  </si>
  <si>
    <t>5.12</t>
  </si>
  <si>
    <t>Демеркуризация ртутьсодержащих отходов</t>
  </si>
  <si>
    <t>5.13</t>
  </si>
  <si>
    <t xml:space="preserve">Ремонт теплотехнического, электрооборудования и кислородных баллонов  </t>
  </si>
  <si>
    <t>5.14</t>
  </si>
  <si>
    <t>5.15</t>
  </si>
  <si>
    <t>5.16</t>
  </si>
  <si>
    <t>Техобслуживание транспортных средств</t>
  </si>
  <si>
    <t>Захоронение твердо-бытовых, строительных и производственных отходов</t>
  </si>
  <si>
    <t>Гидрометеорологические услуги</t>
  </si>
  <si>
    <t>5.17</t>
  </si>
  <si>
    <t>Услуги по выдаче экспертного заключения о техническом состоянии основного и вспомогательного оборудования</t>
  </si>
  <si>
    <t>Прочие затраты всего,</t>
  </si>
  <si>
    <t>6.1</t>
  </si>
  <si>
    <t>Безопасность  и  охрана труда</t>
  </si>
  <si>
    <t>спец одежда и СИЗ</t>
  </si>
  <si>
    <t>потребность хозмыла, порошок</t>
  </si>
  <si>
    <t>медикаменты</t>
  </si>
  <si>
    <t>медосмотр</t>
  </si>
  <si>
    <t>спецпитание</t>
  </si>
  <si>
    <t>аттестация рабочих мест</t>
  </si>
  <si>
    <t>противопожарная безопасность</t>
  </si>
  <si>
    <t>промышленная безопасность</t>
  </si>
  <si>
    <t>6.2</t>
  </si>
  <si>
    <t>Обязательное страхование</t>
  </si>
  <si>
    <t>6.3</t>
  </si>
  <si>
    <t>Подготовка кадров</t>
  </si>
  <si>
    <t>6.4</t>
  </si>
  <si>
    <t>Командировочные расходы</t>
  </si>
  <si>
    <t>6.5</t>
  </si>
  <si>
    <t>Канцелярские товары</t>
  </si>
  <si>
    <t>6.6</t>
  </si>
  <si>
    <t>Бланочная продукция</t>
  </si>
  <si>
    <t>II</t>
  </si>
  <si>
    <t>Расходы периода, всего</t>
  </si>
  <si>
    <t>Общие и административные расходы всего,</t>
  </si>
  <si>
    <t>7.1</t>
  </si>
  <si>
    <t>7.1.1</t>
  </si>
  <si>
    <t>Заработная плата административного персонала</t>
  </si>
  <si>
    <t>7.1.2</t>
  </si>
  <si>
    <t>7.1.3</t>
  </si>
  <si>
    <t>7.2</t>
  </si>
  <si>
    <t>7.3</t>
  </si>
  <si>
    <t>Налоговые платежи и сборы</t>
  </si>
  <si>
    <t>7.4</t>
  </si>
  <si>
    <t>Материалы</t>
  </si>
  <si>
    <t>7.5</t>
  </si>
  <si>
    <t>Коммунальные расходы</t>
  </si>
  <si>
    <t>7.6</t>
  </si>
  <si>
    <t>7.7</t>
  </si>
  <si>
    <t>7.8</t>
  </si>
  <si>
    <t>Информационные, консультационные, аудиторские услуги</t>
  </si>
  <si>
    <t>7.9</t>
  </si>
  <si>
    <t>Услуги банка</t>
  </si>
  <si>
    <t>7.10</t>
  </si>
  <si>
    <t>Прочие расходы всего,</t>
  </si>
  <si>
    <t>7.10.1</t>
  </si>
  <si>
    <t>Охрана объектов</t>
  </si>
  <si>
    <t>7.10.2</t>
  </si>
  <si>
    <t>Содержание оргтехники, обслуживание лицензионных программ</t>
  </si>
  <si>
    <t>7.10.3</t>
  </si>
  <si>
    <t>Проездные билеты</t>
  </si>
  <si>
    <t>7.10.4</t>
  </si>
  <si>
    <t>7.10.5</t>
  </si>
  <si>
    <t>Периодическая печать</t>
  </si>
  <si>
    <t>7.10.6</t>
  </si>
  <si>
    <t>7.10.7</t>
  </si>
  <si>
    <t>Услуги типографии</t>
  </si>
  <si>
    <t>7.10.8</t>
  </si>
  <si>
    <t>7.10.9</t>
  </si>
  <si>
    <t>Хозяйственные товары</t>
  </si>
  <si>
    <t>7.10.10</t>
  </si>
  <si>
    <t>Содержание служебного автотранспорта</t>
  </si>
  <si>
    <t>7.10.11</t>
  </si>
  <si>
    <t>Услуги почты</t>
  </si>
  <si>
    <t>7.10.12</t>
  </si>
  <si>
    <t>Нотариальные услуги</t>
  </si>
  <si>
    <t>8</t>
  </si>
  <si>
    <t>Расходы на выплату вознаграждения</t>
  </si>
  <si>
    <t>III</t>
  </si>
  <si>
    <t>Всего затрат</t>
  </si>
  <si>
    <t>IV</t>
  </si>
  <si>
    <t>Прибыль</t>
  </si>
  <si>
    <t>V</t>
  </si>
  <si>
    <t>Всего доходов</t>
  </si>
  <si>
    <t>VI</t>
  </si>
  <si>
    <t>Объем оказываемых услуг</t>
  </si>
  <si>
    <t>Гкал</t>
  </si>
  <si>
    <t>VII</t>
  </si>
  <si>
    <t>Нормативные технические потери</t>
  </si>
  <si>
    <t xml:space="preserve">% </t>
  </si>
  <si>
    <t>VIII</t>
  </si>
  <si>
    <t>Тариф</t>
  </si>
  <si>
    <t>тенге/ Гкал</t>
  </si>
  <si>
    <t>Справочно:</t>
  </si>
  <si>
    <t>Среднесписочная численность персонала,</t>
  </si>
  <si>
    <t>чел.</t>
  </si>
  <si>
    <t>8.1</t>
  </si>
  <si>
    <t>Производственный персонал</t>
  </si>
  <si>
    <t>8.2</t>
  </si>
  <si>
    <t>Административный персонал</t>
  </si>
  <si>
    <t>Среднемесячная заработная плата, всего</t>
  </si>
  <si>
    <t>тенге</t>
  </si>
  <si>
    <t>9.1</t>
  </si>
  <si>
    <t>производственного персонала</t>
  </si>
  <si>
    <t>9.2</t>
  </si>
  <si>
    <t>административного персонала</t>
  </si>
  <si>
    <t>Отклонение, %</t>
  </si>
  <si>
    <t>Информация о ходе исполнения утвержденной тарифной сметы АО "Астана-Теплотранзит" за 2018 года</t>
  </si>
  <si>
    <t xml:space="preserve">Фактически сложившиеся показатели тарифной сметы за 2018г. </t>
  </si>
  <si>
    <r>
      <t xml:space="preserve">поверка приборов </t>
    </r>
    <r>
      <rPr>
        <b/>
        <sz val="12"/>
        <rFont val="Times New Roman"/>
        <family val="1"/>
        <charset val="204"/>
      </rPr>
      <t xml:space="preserve">КИПиА, химлаборатория, ПС </t>
    </r>
    <r>
      <rPr>
        <sz val="12"/>
        <rFont val="Times New Roman"/>
        <family val="1"/>
        <charset val="204"/>
      </rPr>
      <t xml:space="preserve">(геодез.приборов), </t>
    </r>
    <r>
      <rPr>
        <b/>
        <sz val="12"/>
        <rFont val="Times New Roman"/>
        <family val="1"/>
        <charset val="204"/>
      </rPr>
      <t>ПРС</t>
    </r>
    <r>
      <rPr>
        <sz val="12"/>
        <rFont val="Times New Roman"/>
        <family val="1"/>
        <charset val="204"/>
      </rPr>
      <t xml:space="preserve"> (дефектоскоп)</t>
    </r>
  </si>
  <si>
    <r>
      <t xml:space="preserve">поверка изм.приборов, защитных средств, допуск бригады </t>
    </r>
    <r>
      <rPr>
        <b/>
        <sz val="12"/>
        <rFont val="Times New Roman"/>
        <family val="1"/>
        <charset val="204"/>
      </rPr>
      <t>Энергослужба</t>
    </r>
  </si>
  <si>
    <t>Обслуживание, ремонт оргтехники</t>
  </si>
  <si>
    <t>Обслуживание, ремонт кондиционеров</t>
  </si>
  <si>
    <t>Ремонт и обслуживание аппаратуры связи</t>
  </si>
  <si>
    <t>Очистка и колибровка резервуаров</t>
  </si>
  <si>
    <t>теплотехнического (дефектоскоп)</t>
  </si>
  <si>
    <t>электрооборудования</t>
  </si>
  <si>
    <t>ремонт и техническое освидетельствование кислородных и пропановых баллонов</t>
  </si>
  <si>
    <t>1131,39/1190,1/ 1180,53</t>
  </si>
  <si>
    <t>Наименование организации: АО "Астана-Теплотранзит"</t>
  </si>
  <si>
    <t>Адрес: г. Астана, ул. И. Жансугурова 7</t>
  </si>
  <si>
    <t xml:space="preserve">Телефон: 77-12-02 </t>
  </si>
  <si>
    <t>Адрес электронной почты: info@a-tranzit.kz</t>
  </si>
  <si>
    <t xml:space="preserve">Фамилия и телефон исполнителя: Жумажанова Ш.Е., 77-12-68 </t>
  </si>
  <si>
    <t>Перерасход в связи с порывами возникщиеся во время гидравлических испытаний на объектах распределительных сетей</t>
  </si>
  <si>
    <t>В пределах допустимых 5%. Экономия связана с не укомплектованностью кадров.</t>
  </si>
  <si>
    <t xml:space="preserve">Перерасход связан с принятием объектов из коммунальной собственности города Астаны на баланс Общества, с вводом в эксплуатацию объектов, построенных по программе "Нұрлы жол". Амортизационные отчисления, предусмотренные в тарифной смете 2018 года в полном объеме направлены на реализацию инвестиционной программы. </t>
  </si>
  <si>
    <t>Выполнение 100%</t>
  </si>
  <si>
    <t>Учтены расходы на уборку помещений (основных средств)</t>
  </si>
  <si>
    <t>Перерасход связан с увеличением количества допуска бригады в ЛЭП</t>
  </si>
  <si>
    <t>Экономия в связи с уменьшением объемов производственных отходов</t>
  </si>
  <si>
    <t>Экономия в связи с сокращением количества публикаций в периодической печати</t>
  </si>
  <si>
    <t xml:space="preserve">Перерасход связан с принятием объектов из коммунальной собственности города Астаны на баланс Общества, с вводом в эксплуатацию объектов, построенных по программе "Нұрлы жол". </t>
  </si>
  <si>
    <t>Экономия в связи со снижением потребления электрической энергии (октябрь, ноябрь, декабрь), воды в декабре месяце</t>
  </si>
  <si>
    <t>Экономия в связи со снижением расходов на междугородную связь</t>
  </si>
  <si>
    <t>Экономия в связи с отменой служебной командировки первому заместителю председателя правления и главному инженеру в г. Алматы</t>
  </si>
  <si>
    <t>Увеличение полезного отпуска на 1 065 157 Гкал связано с приростом тепловых нагрузок вновь подключаемых потребителей и фактическими климатологическими условиями</t>
  </si>
  <si>
    <t>В тарифной смете затраты были приняты в соответствии с требованиями Особого порядка, что изначально было ниже фактических расходов на оплату труда.</t>
  </si>
  <si>
    <t>Экономия сложилась в результате обучения персонала Общества в г.Астана, в связи с чем, необходимость в командировочных расходах отсутствовала</t>
  </si>
  <si>
    <t>В пределах допустимых 5%</t>
  </si>
  <si>
    <t>Экономия в связи с заключением договора на клининговые услуги</t>
  </si>
  <si>
    <t>Недоукомплектованность кадров</t>
  </si>
  <si>
    <t>В 2018 году работникам Общества была увеличена заработная плата в пределах утвержденного фонда оплаты труда</t>
  </si>
  <si>
    <t>Перерасход связан с увеличением потребности в бумаге</t>
  </si>
  <si>
    <t>Перерасход связан с увеличением площади, подлежащей благоустройству</t>
  </si>
  <si>
    <t>Экономия сложилась в связи с переходом на тарифный план по услугам телеметрии и статистического IP адреса, установления контрольного лимита на каждый номер по 200 тенге в месяц, также оптимизации расходов по междугородним разговорам</t>
  </si>
  <si>
    <t>Экономия в связи с уменьшением количества проведенной оценки имущества</t>
  </si>
  <si>
    <t>Экономия сложилась в связи с тем, что АО "Цесна банк" объявил акцию проведение всех платежей в 4 квартале с комиссией 0%.</t>
  </si>
  <si>
    <t xml:space="preserve">Экономия в связи с тем,что в октябре месяце приобрели на 2 проездных билета меньше, чем запланировано, в связи с увольнением работников </t>
  </si>
  <si>
    <t xml:space="preserve">Увеличение нормативных технических потерь на 40310 Гкал связано климатологическими условиями </t>
  </si>
  <si>
    <t>В пределах допустимых 5%. Фактические расходы начислены согласно п.3 ст.29 Закона РК "Об обязательном социальном медицинском страховании" от 16.11.2015 года №405-V ЗРК "Ежемесячный объект, принимаемый для исчисления отчислений, не должен превышать 10-кратный минимальный размер заработной платы, установленный на соответствующий финансовый год законом о республиканской бюджете". В утвержденной тарифной смете учтено 1,5% на весь фонд заработной платы.</t>
  </si>
  <si>
    <t>Перерасход в связи с дополнительным ремонтом газобаллоного оборудования автотранспорта</t>
  </si>
  <si>
    <t>Фактические расходы начислены согласно п.3 ст.29 Закона РК "Об обязательном социальном медицинском страховании" от 16.11.2015 года №405-V ЗРК "Ежемесячный объект, принимаемый для исчисления отчислений, не должен превышать 10-кратный минимальный размер заработной платы, установленный на соответствующий финансовый год законом о республиканской бюджете". В утвержденной тарифной смете учтено 1,5% на весь фонд заработной платы.</t>
  </si>
  <si>
    <t xml:space="preserve">Экономия связано с тем, что данные взносы по факту начисляются   работникам во вредных условиях труда не менее 80% рабочего времени согласно Переченю производств, работ, профессий работников, занятых на работах с вредными (особо вредными) условиями труда, в пользу которых вкладчиками обязательных профессиональных пенсионных взносов за счет собственных средств осуществляются обязательные профессиональные пенсионные взносы. </t>
  </si>
  <si>
    <t>Экономия связана с  оптимизацией гидравлических режимов (снижение потребления электрической энергии на насосных станциях)</t>
  </si>
  <si>
    <t xml:space="preserve">Перерасход в связи с увеличением стоимости материалов </t>
  </si>
  <si>
    <t>Экономия в связи со снижением потребления воды в декабре месяце</t>
  </si>
  <si>
    <t>В связи с внесенными изменениями в законодательство о государственных закупках на 2019 год были дополнительно обучены начальник и 2 инженера службы материально-технического снабжения и государственных закупок</t>
  </si>
  <si>
    <t xml:space="preserve">Перерасход сложился по выдаче спецодежды по причине текучести кадров, по обязательному медицинскому осмотру за счет увеличения количества работников подлежащих осмотру. </t>
  </si>
  <si>
    <t>Утилизация свинцовых аккумуляторов привела к перерасходу статьи на 1,4%.</t>
  </si>
  <si>
    <t>В связи с производственной необходимостью дополнительно произведены расходы по обучению:      1. Председателя правления по теме «Существующие требования, планируемые изменения и стратегические пути реализации государственной политики в области экологического законодательства. Право применение Экологического кодекса РК» согласно пунктам 1 и 2 статьи 118 Экологический кодекс Республики Казахстан. Законом РК от 27.12.2017 № 126-VI в г. Астана
2. Начальника финансо-экономической службы на тему «Проблемные вопросы в законодательстве в сфере естественных монополий, изменения законодательства в области защиты конкуренции и ценообразования субъектов общественно значимого рынка</t>
  </si>
  <si>
    <t>Перерасход сложился в связи с использованием автомобиля как разгонный автотранспорт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</si>
</sst>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0"/>
  </numFmts>
  <fonts count="1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sz val="11.5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/>
    <xf numFmtId="0" fontId="1" fillId="0" borderId="0" xfId="0" applyFont="1" applyFill="1"/>
    <xf numFmtId="49" fontId="1" fillId="0" borderId="0" xfId="0" applyNumberFormat="1" applyFont="1"/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/>
    <xf numFmtId="49" fontId="1" fillId="0" borderId="2" xfId="0" applyNumberFormat="1" applyFont="1" applyBorder="1" applyAlignment="1">
      <alignment vertical="center" wrapText="1"/>
    </xf>
    <xf numFmtId="0" fontId="5" fillId="0" borderId="2" xfId="0" applyFont="1" applyBorder="1" applyAlignment="1">
      <alignment horizontal="right" vertical="center" wrapText="1"/>
    </xf>
    <xf numFmtId="0" fontId="1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3" fontId="6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3" fontId="1" fillId="0" borderId="2" xfId="0" applyNumberFormat="1" applyFont="1" applyFill="1" applyBorder="1" applyAlignment="1">
      <alignment horizontal="center" vertical="center" wrapText="1"/>
    </xf>
    <xf numFmtId="3" fontId="7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right" wrapText="1"/>
    </xf>
    <xf numFmtId="0" fontId="1" fillId="0" borderId="2" xfId="0" applyFont="1" applyBorder="1" applyAlignment="1">
      <alignment wrapText="1"/>
    </xf>
    <xf numFmtId="3" fontId="3" fillId="0" borderId="2" xfId="0" applyNumberFormat="1" applyFont="1" applyFill="1" applyBorder="1" applyAlignment="1">
      <alignment horizont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164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/>
    <xf numFmtId="0" fontId="6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3" fontId="6" fillId="0" borderId="2" xfId="0" applyNumberFormat="1" applyFont="1" applyFill="1" applyBorder="1" applyAlignment="1">
      <alignment horizontal="center" wrapText="1"/>
    </xf>
    <xf numFmtId="3" fontId="1" fillId="0" borderId="2" xfId="0" applyNumberFormat="1" applyFont="1" applyFill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wrapText="1"/>
    </xf>
    <xf numFmtId="49" fontId="2" fillId="0" borderId="2" xfId="0" applyNumberFormat="1" applyFont="1" applyBorder="1" applyAlignment="1">
      <alignment horizontal="center" wrapText="1"/>
    </xf>
    <xf numFmtId="49" fontId="1" fillId="0" borderId="2" xfId="0" applyNumberFormat="1" applyFont="1" applyBorder="1" applyAlignment="1">
      <alignment wrapText="1"/>
    </xf>
    <xf numFmtId="3" fontId="1" fillId="0" borderId="2" xfId="0" applyNumberFormat="1" applyFont="1" applyFill="1" applyBorder="1" applyAlignment="1">
      <alignment horizontal="center" wrapText="1"/>
    </xf>
    <xf numFmtId="49" fontId="3" fillId="0" borderId="2" xfId="0" applyNumberFormat="1" applyFont="1" applyBorder="1" applyAlignment="1">
      <alignment horizontal="center" wrapText="1"/>
    </xf>
    <xf numFmtId="0" fontId="3" fillId="0" borderId="2" xfId="0" applyFont="1" applyFill="1" applyBorder="1" applyAlignment="1">
      <alignment wrapText="1"/>
    </xf>
    <xf numFmtId="49" fontId="7" fillId="0" borderId="2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165" fontId="1" fillId="0" borderId="0" xfId="0" applyNumberFormat="1" applyFont="1"/>
    <xf numFmtId="3" fontId="2" fillId="0" borderId="2" xfId="0" applyNumberFormat="1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3" fontId="3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Border="1"/>
    <xf numFmtId="0" fontId="6" fillId="0" borderId="0" xfId="0" applyFont="1"/>
    <xf numFmtId="0" fontId="6" fillId="0" borderId="0" xfId="0" applyFont="1" applyFill="1"/>
    <xf numFmtId="49" fontId="6" fillId="0" borderId="0" xfId="0" applyNumberFormat="1" applyFont="1"/>
    <xf numFmtId="49" fontId="4" fillId="0" borderId="0" xfId="0" applyNumberFormat="1" applyFont="1"/>
    <xf numFmtId="0" fontId="1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3" fontId="1" fillId="0" borderId="0" xfId="0" applyNumberFormat="1" applyFont="1"/>
    <xf numFmtId="0" fontId="1" fillId="0" borderId="2" xfId="0" applyFont="1" applyFill="1" applyBorder="1" applyAlignment="1">
      <alignment wrapText="1"/>
    </xf>
    <xf numFmtId="0" fontId="7" fillId="0" borderId="2" xfId="0" applyFont="1" applyBorder="1" applyAlignment="1">
      <alignment wrapText="1"/>
    </xf>
    <xf numFmtId="0" fontId="8" fillId="0" borderId="2" xfId="0" applyFont="1" applyFill="1" applyBorder="1" applyAlignment="1">
      <alignment wrapText="1"/>
    </xf>
    <xf numFmtId="3" fontId="1" fillId="0" borderId="2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6" fillId="0" borderId="2" xfId="0" applyFont="1" applyBorder="1" applyAlignment="1">
      <alignment wrapText="1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10" fillId="0" borderId="0" xfId="0" applyFont="1" applyFill="1"/>
    <xf numFmtId="0" fontId="3" fillId="0" borderId="0" xfId="0" applyFont="1" applyFill="1"/>
    <xf numFmtId="49" fontId="11" fillId="0" borderId="0" xfId="0" applyNumberFormat="1" applyFont="1" applyFill="1"/>
    <xf numFmtId="0" fontId="12" fillId="0" borderId="0" xfId="0" applyFont="1" applyFill="1" applyAlignment="1">
      <alignment horizontal="right"/>
    </xf>
    <xf numFmtId="0" fontId="11" fillId="0" borderId="0" xfId="0" applyFont="1" applyFill="1"/>
    <xf numFmtId="0" fontId="11" fillId="0" borderId="0" xfId="0" applyFont="1"/>
    <xf numFmtId="0" fontId="4" fillId="0" borderId="2" xfId="0" applyFont="1" applyFill="1" applyBorder="1" applyAlignment="1">
      <alignment horizontal="justify" vertical="center" wrapText="1"/>
    </xf>
    <xf numFmtId="0" fontId="2" fillId="0" borderId="2" xfId="0" applyFont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wrapText="1"/>
    </xf>
    <xf numFmtId="0" fontId="15" fillId="0" borderId="2" xfId="0" applyFont="1" applyFill="1" applyBorder="1" applyAlignment="1">
      <alignment horizontal="justify" vertical="center" wrapText="1"/>
    </xf>
    <xf numFmtId="0" fontId="8" fillId="0" borderId="2" xfId="0" applyFont="1" applyFill="1" applyBorder="1" applyAlignment="1">
      <alignment horizontal="justify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4" fillId="0" borderId="3" xfId="0" applyFont="1" applyFill="1" applyBorder="1" applyAlignment="1">
      <alignment horizontal="justify" vertical="center" wrapText="1"/>
    </xf>
    <xf numFmtId="49" fontId="6" fillId="0" borderId="0" xfId="0" applyNumberFormat="1" applyFont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4" fillId="0" borderId="4" xfId="0" applyFont="1" applyFill="1" applyBorder="1" applyAlignment="1">
      <alignment horizontal="justify" vertical="center" wrapText="1"/>
    </xf>
    <xf numFmtId="0" fontId="8" fillId="0" borderId="2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060-6/Documents/&#1089;%20&#1088;&#1072;&#1073;%20&#1089;&#1090;&#1086;&#1083;&#1072;%2026.11.18/&#1050;&#1086;&#1088;&#1088;&#1077;&#1082;&#1090;&#1080;&#1088;&#1086;&#1074;&#1082;&#1072;%20&#1058;&#1057;%202018&#1075;/&#1058;&#1072;&#1088;&#1080;&#1092;&#1085;&#1072;&#1103;%20&#1089;&#1084;&#1077;&#1090;&#1072;%20&#1089;%20&#1088;&#1072;&#1089;&#1096;&#1080;&#1092;&#1088;&#1086;&#1074;&#1082;&#1072;&#1084;&#108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060-6/Desktop/&#1054;&#1090;&#1095;&#1077;&#1090;%20&#1086;&#1073;%20&#1080;&#1089;&#1087;&#1086;&#1083;&#1085;&#1077;&#1085;&#1080;&#1080;%20&#1090;&#1072;&#1088;&#1080;&#1092;&#1085;&#1086;&#1081;%20&#1089;&#1084;&#1077;&#1090;&#1099;%20&#1079;&#1072;%202018&#1075;/&#1054;&#1090;&#1095;&#1077;&#1090;%20&#1086;&#1073;%20&#1080;&#1089;&#1087;&#1086;&#1083;&#1085;&#1077;&#1085;&#1080;&#1080;%20&#1090;&#1072;&#1088;&#1080;&#1092;&#1085;&#1086;&#1081;%20&#1089;&#1084;&#1077;&#1090;&#1099;%20&#1040;&#1054;%20&#1040;&#1089;&#1090;&#1072;&#1085;&#1072;-&#1058;&#1077;&#1087;&#1083;&#1086;&#1090;&#1088;&#1072;&#1085;&#1079;&#1080;&#1090;%20&#1079;&#1072;%202018%20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С объем без изм с ожид"/>
      <sheetName val="Лист1"/>
      <sheetName val="ТС объем изм (2)"/>
      <sheetName val="ТС объем без изм"/>
      <sheetName val="тарифсмета"/>
      <sheetName val="материалы"/>
      <sheetName val="энергия "/>
      <sheetName val="энергия 4кв"/>
      <sheetName val="заработная плата"/>
      <sheetName val="ОППВ"/>
      <sheetName val="услуги автотрансп"/>
      <sheetName val="водоснаб"/>
      <sheetName val="поверка"/>
      <sheetName val="испытание тс"/>
      <sheetName val="топогеод работы"/>
      <sheetName val="восстан асфальта"/>
      <sheetName val="услуги связи"/>
      <sheetName val="обсл ремонт ОС"/>
      <sheetName val="информац обслуж"/>
      <sheetName val="экология"/>
      <sheetName val="энергоаудит"/>
      <sheetName val="демеркуризация"/>
      <sheetName val="ремонт тепло электро"/>
      <sheetName val="техобсл ТС"/>
      <sheetName val="Захорон ПО"/>
      <sheetName val="метеоуслуги"/>
      <sheetName val="выдача эксп закл"/>
      <sheetName val="свод безопас и охрана труда"/>
      <sheetName val="обязат. страхование"/>
      <sheetName val="канцтовары"/>
      <sheetName val="блан прод"/>
      <sheetName val="коммун расходы"/>
      <sheetName val="услуги связи ауп"/>
      <sheetName val="информац аудит"/>
      <sheetName val="услуги банка "/>
      <sheetName val="охрана объекта"/>
      <sheetName val="оргтехника АУП"/>
      <sheetName val="проезд билеты"/>
      <sheetName val="канц товары АУП"/>
      <sheetName val="услуги типогр"/>
      <sheetName val="страх АУП"/>
      <sheetName val="хозтовары"/>
      <sheetName val="содер авто"/>
      <sheetName val="услуги почты"/>
      <sheetName val="услуги нотар"/>
      <sheetName val="вознаграждени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6">
          <cell r="D6">
            <v>119201.79150000001</v>
          </cell>
        </row>
        <row r="12">
          <cell r="D12">
            <v>11665.62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>
        <row r="6">
          <cell r="E6">
            <v>9931.8539999999994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 вход в ТС"/>
      <sheetName val="тарифсмета"/>
      <sheetName val="объем ПО"/>
      <sheetName val="объем норм потерь"/>
      <sheetName val="сырье и материалы"/>
      <sheetName val="энергия "/>
      <sheetName val="услуги автотрансп"/>
      <sheetName val="водоснаб"/>
      <sheetName val="поверка"/>
      <sheetName val="испытание на теп потери"/>
      <sheetName val="топогеод работы"/>
      <sheetName val="восстан асфальта"/>
      <sheetName val="услуги связи"/>
      <sheetName val="обсл ремонт ОС"/>
      <sheetName val="информац обслуж"/>
      <sheetName val="экология"/>
      <sheetName val="энергоаудит"/>
      <sheetName val="демеркуризация"/>
      <sheetName val="ремонт тепло электро"/>
      <sheetName val="техобсл ТС"/>
      <sheetName val="Захорон ПО"/>
      <sheetName val="метеоуслуги"/>
      <sheetName val="выдача эксп закл"/>
      <sheetName val="свод безопас и охрана труда"/>
      <sheetName val="обязат. страхование"/>
      <sheetName val="подготовка кадров"/>
      <sheetName val="командир"/>
      <sheetName val="канцтовары"/>
      <sheetName val="блан прод"/>
      <sheetName val="аморт АУП"/>
      <sheetName val="налоги"/>
      <sheetName val="материалы"/>
      <sheetName val="комм расходы"/>
      <sheetName val="команд АУП"/>
      <sheetName val="связь"/>
      <sheetName val="инф конс аудит"/>
      <sheetName val="услуги банка"/>
      <sheetName val="охрана объекта"/>
      <sheetName val="оргтехника"/>
      <sheetName val="проездные билеты"/>
      <sheetName val="канц товары"/>
      <sheetName val="период печать"/>
      <sheetName val="подготовка кадров АУП"/>
      <sheetName val="типография ауп"/>
      <sheetName val="страх АУП"/>
      <sheetName val="хоз товары"/>
      <sheetName val="служеб автотран"/>
      <sheetName val="почта"/>
      <sheetName val="нотар услуги"/>
      <sheetName val="вознаграж"/>
    </sheetNames>
    <sheetDataSet>
      <sheetData sheetId="0">
        <row r="8">
          <cell r="D8">
            <v>9702.343350000001</v>
          </cell>
        </row>
      </sheetData>
      <sheetData sheetId="1"/>
      <sheetData sheetId="2">
        <row r="16">
          <cell r="C16">
            <v>6478032.3500000006</v>
          </cell>
          <cell r="E16">
            <v>7463640.8686407004</v>
          </cell>
        </row>
      </sheetData>
      <sheetData sheetId="3">
        <row r="16">
          <cell r="C16">
            <v>907309.59</v>
          </cell>
          <cell r="E16">
            <v>1540793.5019535001</v>
          </cell>
        </row>
      </sheetData>
      <sheetData sheetId="4" refreshError="1"/>
      <sheetData sheetId="5" refreshError="1"/>
      <sheetData sheetId="6">
        <row r="5">
          <cell r="B5">
            <v>2619.5</v>
          </cell>
        </row>
      </sheetData>
      <sheetData sheetId="7" refreshError="1"/>
      <sheetData sheetId="8">
        <row r="10">
          <cell r="C10">
            <v>4372.5640000000003</v>
          </cell>
        </row>
      </sheetData>
      <sheetData sheetId="9" refreshError="1"/>
      <sheetData sheetId="10">
        <row r="7">
          <cell r="C7">
            <v>29.7</v>
          </cell>
        </row>
      </sheetData>
      <sheetData sheetId="11">
        <row r="9">
          <cell r="C9">
            <v>9838.7410000000018</v>
          </cell>
        </row>
      </sheetData>
      <sheetData sheetId="12">
        <row r="20">
          <cell r="C20">
            <v>7384.5339999999997</v>
          </cell>
        </row>
      </sheetData>
      <sheetData sheetId="13">
        <row r="12">
          <cell r="C12">
            <v>17243.745999999999</v>
          </cell>
        </row>
      </sheetData>
      <sheetData sheetId="14">
        <row r="9">
          <cell r="C9">
            <v>607.78</v>
          </cell>
        </row>
      </sheetData>
      <sheetData sheetId="15">
        <row r="14">
          <cell r="C14">
            <v>1097.664</v>
          </cell>
        </row>
      </sheetData>
      <sheetData sheetId="16">
        <row r="7">
          <cell r="C7">
            <v>220</v>
          </cell>
        </row>
      </sheetData>
      <sheetData sheetId="17">
        <row r="7">
          <cell r="C7">
            <v>25.7</v>
          </cell>
        </row>
      </sheetData>
      <sheetData sheetId="18">
        <row r="19">
          <cell r="C19">
            <v>2281.23</v>
          </cell>
        </row>
      </sheetData>
      <sheetData sheetId="19">
        <row r="11">
          <cell r="C11">
            <v>2881.3629999999998</v>
          </cell>
        </row>
      </sheetData>
      <sheetData sheetId="20">
        <row r="7">
          <cell r="C7">
            <v>2107.2910000000002</v>
          </cell>
        </row>
      </sheetData>
      <sheetData sheetId="21">
        <row r="7">
          <cell r="C7">
            <v>599.89700000000005</v>
          </cell>
        </row>
      </sheetData>
      <sheetData sheetId="22">
        <row r="7">
          <cell r="C7">
            <v>720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>
        <row r="11">
          <cell r="C11">
            <v>3743.4110000000001</v>
          </cell>
        </row>
      </sheetData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1"/>
  <sheetViews>
    <sheetView tabSelected="1" topLeftCell="A92" zoomScaleNormal="100" zoomScaleSheetLayoutView="110" workbookViewId="0">
      <selection activeCell="H105" sqref="H105"/>
    </sheetView>
  </sheetViews>
  <sheetFormatPr defaultRowHeight="15.75" x14ac:dyDescent="0.25"/>
  <cols>
    <col min="1" max="1" width="8" style="3" customWidth="1"/>
    <col min="2" max="2" width="36" style="1" customWidth="1"/>
    <col min="3" max="3" width="9.140625" style="1"/>
    <col min="4" max="4" width="14.140625" style="2" customWidth="1"/>
    <col min="5" max="5" width="15" style="1" customWidth="1"/>
    <col min="6" max="6" width="12" style="1" customWidth="1"/>
    <col min="7" max="7" width="43.42578125" style="1" customWidth="1"/>
    <col min="8" max="16384" width="9.140625" style="1"/>
  </cols>
  <sheetData>
    <row r="2" spans="1:8" ht="31.5" customHeight="1" x14ac:dyDescent="0.25">
      <c r="B2" s="102" t="s">
        <v>162</v>
      </c>
      <c r="C2" s="102"/>
      <c r="D2" s="102"/>
      <c r="E2" s="102"/>
      <c r="F2" s="102"/>
      <c r="G2" s="102"/>
    </row>
    <row r="3" spans="1:8" x14ac:dyDescent="0.25">
      <c r="D3" s="1"/>
    </row>
    <row r="4" spans="1:8" ht="16.5" customHeight="1" x14ac:dyDescent="0.25">
      <c r="A4" s="94" t="s">
        <v>0</v>
      </c>
      <c r="B4" s="90" t="s">
        <v>1</v>
      </c>
      <c r="C4" s="90" t="s">
        <v>2</v>
      </c>
      <c r="D4" s="96" t="s">
        <v>3</v>
      </c>
      <c r="E4" s="96" t="s">
        <v>163</v>
      </c>
      <c r="F4" s="90" t="s">
        <v>161</v>
      </c>
      <c r="G4" s="96" t="s">
        <v>4</v>
      </c>
    </row>
    <row r="5" spans="1:8" ht="93.75" customHeight="1" x14ac:dyDescent="0.25">
      <c r="A5" s="95"/>
      <c r="B5" s="91"/>
      <c r="C5" s="91"/>
      <c r="D5" s="96"/>
      <c r="E5" s="96"/>
      <c r="F5" s="91"/>
      <c r="G5" s="96"/>
    </row>
    <row r="6" spans="1:8" ht="47.25" x14ac:dyDescent="0.25">
      <c r="A6" s="59" t="s">
        <v>6</v>
      </c>
      <c r="B6" s="60" t="s">
        <v>7</v>
      </c>
      <c r="C6" s="5" t="s">
        <v>5</v>
      </c>
      <c r="D6" s="6">
        <f>D8+D13+D19+D20+D23+D51</f>
        <v>3843806.8315000003</v>
      </c>
      <c r="E6" s="6">
        <f>E8+E13+E19+E20+E23+E51</f>
        <v>4596839.9036500007</v>
      </c>
      <c r="F6" s="7">
        <f>E6/D6*100-100</f>
        <v>19.59081465746128</v>
      </c>
      <c r="G6" s="8"/>
    </row>
    <row r="7" spans="1:8" x14ac:dyDescent="0.25">
      <c r="A7" s="9"/>
      <c r="B7" s="10" t="s">
        <v>8</v>
      </c>
      <c r="C7" s="11"/>
      <c r="D7" s="6"/>
      <c r="E7" s="8"/>
      <c r="F7" s="7"/>
      <c r="G7" s="8"/>
    </row>
    <row r="8" spans="1:8" ht="15.75" customHeight="1" x14ac:dyDescent="0.25">
      <c r="A8" s="59">
        <v>1</v>
      </c>
      <c r="B8" s="60" t="s">
        <v>9</v>
      </c>
      <c r="C8" s="12"/>
      <c r="D8" s="6">
        <f>D10+D11+D12</f>
        <v>743713.04</v>
      </c>
      <c r="E8" s="6">
        <f>E10+E11+E12</f>
        <v>717604.31700000004</v>
      </c>
      <c r="F8" s="7">
        <f>E8/D8*100-100</f>
        <v>-3.5105909935369652</v>
      </c>
      <c r="G8" s="8"/>
    </row>
    <row r="9" spans="1:8" x14ac:dyDescent="0.25">
      <c r="A9" s="9"/>
      <c r="B9" s="10" t="s">
        <v>8</v>
      </c>
      <c r="C9" s="11"/>
      <c r="D9" s="13"/>
      <c r="E9" s="8"/>
      <c r="F9" s="7"/>
      <c r="G9" s="8"/>
    </row>
    <row r="10" spans="1:8" ht="38.25" x14ac:dyDescent="0.25">
      <c r="A10" s="14" t="s">
        <v>10</v>
      </c>
      <c r="B10" s="15" t="s">
        <v>11</v>
      </c>
      <c r="C10" s="4" t="s">
        <v>12</v>
      </c>
      <c r="D10" s="16">
        <v>203851.04</v>
      </c>
      <c r="E10" s="16">
        <f>212071.8+4357.311</f>
        <v>216429.11099999998</v>
      </c>
      <c r="F10" s="7">
        <f>E10/D10*100-100</f>
        <v>6.1702265536638805</v>
      </c>
      <c r="G10" s="80" t="s">
        <v>179</v>
      </c>
    </row>
    <row r="11" spans="1:8" x14ac:dyDescent="0.25">
      <c r="A11" s="14" t="s">
        <v>13</v>
      </c>
      <c r="B11" s="15" t="s">
        <v>14</v>
      </c>
      <c r="C11" s="4" t="s">
        <v>12</v>
      </c>
      <c r="D11" s="17">
        <v>61392</v>
      </c>
      <c r="E11" s="17">
        <v>61392</v>
      </c>
      <c r="F11" s="7">
        <f>E11/D11*100-100</f>
        <v>0</v>
      </c>
      <c r="G11" s="80" t="s">
        <v>182</v>
      </c>
      <c r="H11" s="64"/>
    </row>
    <row r="12" spans="1:8" ht="38.25" x14ac:dyDescent="0.25">
      <c r="A12" s="21" t="s">
        <v>15</v>
      </c>
      <c r="B12" s="22" t="s">
        <v>16</v>
      </c>
      <c r="C12" s="48" t="s">
        <v>17</v>
      </c>
      <c r="D12" s="17">
        <v>478470</v>
      </c>
      <c r="E12" s="17">
        <v>439783.20600000001</v>
      </c>
      <c r="F12" s="23">
        <f>E12/D12*100-100</f>
        <v>-8.0855213493008904</v>
      </c>
      <c r="G12" s="80" t="s">
        <v>209</v>
      </c>
    </row>
    <row r="13" spans="1:8" x14ac:dyDescent="0.25">
      <c r="A13" s="59">
        <v>2</v>
      </c>
      <c r="B13" s="60" t="s">
        <v>18</v>
      </c>
      <c r="C13" s="4" t="s">
        <v>12</v>
      </c>
      <c r="D13" s="6">
        <f>D15+D16+D17+D18</f>
        <v>1542366.7915000001</v>
      </c>
      <c r="E13" s="6">
        <f>E15+E16+E17+E18</f>
        <v>1517044.0666500002</v>
      </c>
      <c r="F13" s="7">
        <f>E13/D13*100-100</f>
        <v>-1.6418095221936539</v>
      </c>
      <c r="G13" s="8"/>
    </row>
    <row r="14" spans="1:8" x14ac:dyDescent="0.25">
      <c r="A14" s="9"/>
      <c r="B14" s="18" t="s">
        <v>8</v>
      </c>
      <c r="C14" s="19"/>
      <c r="D14" s="20"/>
      <c r="E14" s="8"/>
      <c r="F14" s="7"/>
      <c r="G14" s="8"/>
    </row>
    <row r="15" spans="1:8" ht="31.5" x14ac:dyDescent="0.25">
      <c r="A15" s="14" t="s">
        <v>19</v>
      </c>
      <c r="B15" s="15" t="s">
        <v>20</v>
      </c>
      <c r="C15" s="4" t="s">
        <v>12</v>
      </c>
      <c r="D15" s="16">
        <v>1394173</v>
      </c>
      <c r="E15" s="16">
        <f>1372083.9</f>
        <v>1372083.9</v>
      </c>
      <c r="F15" s="7">
        <f t="shared" ref="F15:F20" si="0">E15/D15*100-100</f>
        <v>-1.5843873034408205</v>
      </c>
      <c r="G15" s="92" t="s">
        <v>180</v>
      </c>
    </row>
    <row r="16" spans="1:8" ht="31.5" x14ac:dyDescent="0.25">
      <c r="A16" s="14" t="s">
        <v>21</v>
      </c>
      <c r="B16" s="15" t="s">
        <v>22</v>
      </c>
      <c r="C16" s="4" t="s">
        <v>12</v>
      </c>
      <c r="D16" s="16">
        <f>'[1]заработная плата'!D6</f>
        <v>119201.79150000001</v>
      </c>
      <c r="E16" s="16">
        <f>127179.631-'[2]не вход в ТС'!D8</f>
        <v>117477.28765</v>
      </c>
      <c r="F16" s="7">
        <f t="shared" si="0"/>
        <v>-1.4467096746612356</v>
      </c>
      <c r="G16" s="93"/>
    </row>
    <row r="17" spans="1:7" ht="127.5" x14ac:dyDescent="0.25">
      <c r="A17" s="21" t="s">
        <v>23</v>
      </c>
      <c r="B17" s="22" t="s">
        <v>24</v>
      </c>
      <c r="C17" s="58" t="s">
        <v>12</v>
      </c>
      <c r="D17" s="16">
        <v>8079</v>
      </c>
      <c r="E17" s="16">
        <v>7615.5290000000005</v>
      </c>
      <c r="F17" s="23">
        <f t="shared" si="0"/>
        <v>-5.7367372199529569</v>
      </c>
      <c r="G17" s="80" t="s">
        <v>208</v>
      </c>
    </row>
    <row r="18" spans="1:7" ht="140.25" x14ac:dyDescent="0.25">
      <c r="A18" s="21" t="s">
        <v>25</v>
      </c>
      <c r="B18" s="22" t="s">
        <v>26</v>
      </c>
      <c r="C18" s="58" t="s">
        <v>12</v>
      </c>
      <c r="D18" s="16">
        <v>20913</v>
      </c>
      <c r="E18" s="16">
        <v>19867.349999999999</v>
      </c>
      <c r="F18" s="23">
        <f t="shared" si="0"/>
        <v>-5</v>
      </c>
      <c r="G18" s="80" t="s">
        <v>205</v>
      </c>
    </row>
    <row r="19" spans="1:7" ht="102" x14ac:dyDescent="0.25">
      <c r="A19" s="59">
        <v>3</v>
      </c>
      <c r="B19" s="60" t="s">
        <v>27</v>
      </c>
      <c r="C19" s="25" t="s">
        <v>12</v>
      </c>
      <c r="D19" s="13">
        <v>1233901</v>
      </c>
      <c r="E19" s="13">
        <f>2033416.255-200</f>
        <v>2033216.2549999999</v>
      </c>
      <c r="F19" s="7">
        <f t="shared" si="0"/>
        <v>64.779528908721176</v>
      </c>
      <c r="G19" s="80" t="s">
        <v>181</v>
      </c>
    </row>
    <row r="20" spans="1:7" x14ac:dyDescent="0.25">
      <c r="A20" s="59">
        <v>4</v>
      </c>
      <c r="B20" s="26" t="s">
        <v>28</v>
      </c>
      <c r="C20" s="62" t="s">
        <v>12</v>
      </c>
      <c r="D20" s="27">
        <v>200000</v>
      </c>
      <c r="E20" s="27">
        <f>E22</f>
        <v>201923.92800000001</v>
      </c>
      <c r="F20" s="7">
        <f t="shared" si="0"/>
        <v>0.96196400000000892</v>
      </c>
      <c r="G20" s="8"/>
    </row>
    <row r="21" spans="1:7" x14ac:dyDescent="0.25">
      <c r="A21" s="9"/>
      <c r="B21" s="18" t="s">
        <v>8</v>
      </c>
      <c r="C21" s="19"/>
      <c r="D21" s="20"/>
      <c r="E21" s="8"/>
      <c r="F21" s="7"/>
      <c r="G21" s="8"/>
    </row>
    <row r="22" spans="1:7" ht="47.25" x14ac:dyDescent="0.25">
      <c r="A22" s="14" t="s">
        <v>29</v>
      </c>
      <c r="B22" s="15" t="s">
        <v>30</v>
      </c>
      <c r="C22" s="4" t="s">
        <v>12</v>
      </c>
      <c r="D22" s="13">
        <v>200000</v>
      </c>
      <c r="E22" s="13">
        <v>201923.92800000001</v>
      </c>
      <c r="F22" s="7">
        <f>E22/D22*100-100</f>
        <v>0.96196400000000892</v>
      </c>
      <c r="G22" s="80" t="s">
        <v>210</v>
      </c>
    </row>
    <row r="23" spans="1:7" ht="31.5" x14ac:dyDescent="0.25">
      <c r="A23" s="59">
        <v>5</v>
      </c>
      <c r="B23" s="60" t="s">
        <v>31</v>
      </c>
      <c r="C23" s="4" t="s">
        <v>12</v>
      </c>
      <c r="D23" s="13">
        <f>D25+D26+D27+D30+D31+D32+D33+D34+D39+D40+D41+D42+D43+D47+D48+D49+D50</f>
        <v>81183</v>
      </c>
      <c r="E23" s="13">
        <f>E25+E26+E27+E30+E31+E32+E33+E34+E39+E40+E41+E42+E43+E47+E48+E49+E50</f>
        <v>83765.87999999999</v>
      </c>
      <c r="F23" s="7">
        <f>E23/D23*100-100</f>
        <v>3.1815527881452965</v>
      </c>
      <c r="G23" s="8"/>
    </row>
    <row r="24" spans="1:7" x14ac:dyDescent="0.25">
      <c r="A24" s="9"/>
      <c r="B24" s="18" t="s">
        <v>8</v>
      </c>
      <c r="C24" s="19"/>
      <c r="D24" s="27"/>
      <c r="E24" s="8"/>
      <c r="F24" s="7"/>
      <c r="G24" s="8"/>
    </row>
    <row r="25" spans="1:7" ht="31.5" x14ac:dyDescent="0.25">
      <c r="A25" s="14" t="s">
        <v>32</v>
      </c>
      <c r="B25" s="11" t="s">
        <v>33</v>
      </c>
      <c r="C25" s="62" t="s">
        <v>12</v>
      </c>
      <c r="D25" s="16">
        <v>2620</v>
      </c>
      <c r="E25" s="28">
        <f>'[2]услуги автотрансп'!B5</f>
        <v>2619.5</v>
      </c>
      <c r="F25" s="7">
        <f>E25/D25*100-100</f>
        <v>-1.9083969465654604E-2</v>
      </c>
      <c r="G25" s="80" t="s">
        <v>182</v>
      </c>
    </row>
    <row r="26" spans="1:7" ht="31.5" x14ac:dyDescent="0.25">
      <c r="A26" s="14" t="s">
        <v>34</v>
      </c>
      <c r="B26" s="11" t="s">
        <v>35</v>
      </c>
      <c r="C26" s="62" t="s">
        <v>12</v>
      </c>
      <c r="D26" s="29">
        <v>25107</v>
      </c>
      <c r="E26" s="28">
        <v>25026.093000000001</v>
      </c>
      <c r="F26" s="7">
        <f>E26/D26*100-100</f>
        <v>-0.32224877524195961</v>
      </c>
      <c r="G26" s="80" t="s">
        <v>211</v>
      </c>
    </row>
    <row r="27" spans="1:7" ht="31.5" x14ac:dyDescent="0.25">
      <c r="A27" s="30" t="s">
        <v>36</v>
      </c>
      <c r="B27" s="19" t="s">
        <v>37</v>
      </c>
      <c r="C27" s="62" t="s">
        <v>12</v>
      </c>
      <c r="D27" s="16">
        <v>4010</v>
      </c>
      <c r="E27" s="28">
        <f>[2]поверка!C10</f>
        <v>4372.5640000000003</v>
      </c>
      <c r="F27" s="7">
        <f>E27/D27*100-100</f>
        <v>9.0414962593516179</v>
      </c>
      <c r="G27" s="80" t="s">
        <v>184</v>
      </c>
    </row>
    <row r="28" spans="1:7" ht="63" hidden="1" x14ac:dyDescent="0.25">
      <c r="A28" s="30"/>
      <c r="B28" s="31" t="s">
        <v>164</v>
      </c>
      <c r="C28" s="62" t="s">
        <v>12</v>
      </c>
      <c r="D28" s="17"/>
      <c r="E28" s="32"/>
      <c r="F28" s="7"/>
      <c r="G28" s="8"/>
    </row>
    <row r="29" spans="1:7" ht="47.25" hidden="1" x14ac:dyDescent="0.25">
      <c r="A29" s="30"/>
      <c r="B29" s="31" t="s">
        <v>165</v>
      </c>
      <c r="C29" s="62" t="s">
        <v>12</v>
      </c>
      <c r="D29" s="17"/>
      <c r="E29" s="32"/>
      <c r="F29" s="7"/>
      <c r="G29" s="8"/>
    </row>
    <row r="30" spans="1:7" ht="31.5" x14ac:dyDescent="0.25">
      <c r="A30" s="14" t="s">
        <v>38</v>
      </c>
      <c r="B30" s="19" t="s">
        <v>39</v>
      </c>
      <c r="C30" s="62" t="s">
        <v>12</v>
      </c>
      <c r="D30" s="16">
        <v>4490</v>
      </c>
      <c r="E30" s="32">
        <f>4490</f>
        <v>4490</v>
      </c>
      <c r="F30" s="33">
        <f>E30/D30*100-100</f>
        <v>0</v>
      </c>
      <c r="G30" s="80" t="s">
        <v>182</v>
      </c>
    </row>
    <row r="31" spans="1:7" x14ac:dyDescent="0.25">
      <c r="A31" s="30" t="s">
        <v>40</v>
      </c>
      <c r="B31" s="19" t="s">
        <v>41</v>
      </c>
      <c r="C31" s="62" t="s">
        <v>12</v>
      </c>
      <c r="D31" s="16">
        <v>30</v>
      </c>
      <c r="E31" s="28">
        <f>'[2]топогеод работы'!C7</f>
        <v>29.7</v>
      </c>
      <c r="F31" s="33">
        <v>0</v>
      </c>
      <c r="G31" s="80" t="s">
        <v>182</v>
      </c>
    </row>
    <row r="32" spans="1:7" ht="47.25" x14ac:dyDescent="0.25">
      <c r="A32" s="14" t="s">
        <v>42</v>
      </c>
      <c r="B32" s="11" t="s">
        <v>43</v>
      </c>
      <c r="C32" s="62" t="s">
        <v>12</v>
      </c>
      <c r="D32" s="16">
        <v>9668</v>
      </c>
      <c r="E32" s="28">
        <f>'[2]восстан асфальта'!C9</f>
        <v>9838.7410000000018</v>
      </c>
      <c r="F32" s="7">
        <f>E32/D32*100-100</f>
        <v>1.7660426148117665</v>
      </c>
      <c r="G32" s="80" t="s">
        <v>199</v>
      </c>
    </row>
    <row r="33" spans="1:7" ht="76.5" x14ac:dyDescent="0.25">
      <c r="A33" s="30" t="s">
        <v>44</v>
      </c>
      <c r="B33" s="11" t="s">
        <v>45</v>
      </c>
      <c r="C33" s="62" t="s">
        <v>12</v>
      </c>
      <c r="D33" s="16">
        <v>7480</v>
      </c>
      <c r="E33" s="28">
        <f>'[2]услуги связи'!C20</f>
        <v>7384.5339999999997</v>
      </c>
      <c r="F33" s="7">
        <f>E33/D33*100-100</f>
        <v>-1.2762834224598976</v>
      </c>
      <c r="G33" s="80" t="s">
        <v>200</v>
      </c>
    </row>
    <row r="34" spans="1:7" ht="31.5" x14ac:dyDescent="0.25">
      <c r="A34" s="14" t="s">
        <v>46</v>
      </c>
      <c r="B34" s="11" t="s">
        <v>47</v>
      </c>
      <c r="C34" s="62" t="s">
        <v>12</v>
      </c>
      <c r="D34" s="16">
        <v>17275</v>
      </c>
      <c r="E34" s="28">
        <f>'[2]обсл ремонт ОС'!C12+2219.777</f>
        <v>19463.523000000001</v>
      </c>
      <c r="F34" s="7">
        <f>E34/D34*100-100</f>
        <v>12.668729377713461</v>
      </c>
      <c r="G34" s="80" t="s">
        <v>183</v>
      </c>
    </row>
    <row r="35" spans="1:7" hidden="1" x14ac:dyDescent="0.25">
      <c r="A35" s="14"/>
      <c r="B35" s="31" t="s">
        <v>166</v>
      </c>
      <c r="C35" s="62"/>
      <c r="D35" s="17">
        <v>3387</v>
      </c>
      <c r="E35" s="32"/>
      <c r="F35" s="7">
        <f t="shared" ref="F35:F46" si="1">E35/D35*100-100</f>
        <v>-100</v>
      </c>
      <c r="G35" s="8"/>
    </row>
    <row r="36" spans="1:7" ht="31.5" hidden="1" x14ac:dyDescent="0.25">
      <c r="A36" s="14"/>
      <c r="B36" s="31" t="s">
        <v>167</v>
      </c>
      <c r="C36" s="62"/>
      <c r="D36" s="17">
        <v>605</v>
      </c>
      <c r="E36" s="32"/>
      <c r="F36" s="7">
        <f t="shared" si="1"/>
        <v>-100</v>
      </c>
      <c r="G36" s="8"/>
    </row>
    <row r="37" spans="1:7" ht="31.5" hidden="1" x14ac:dyDescent="0.25">
      <c r="A37" s="14"/>
      <c r="B37" s="31" t="s">
        <v>168</v>
      </c>
      <c r="C37" s="62"/>
      <c r="D37" s="17">
        <v>787</v>
      </c>
      <c r="E37" s="32"/>
      <c r="F37" s="7">
        <f t="shared" si="1"/>
        <v>-100</v>
      </c>
      <c r="G37" s="8"/>
    </row>
    <row r="38" spans="1:7" hidden="1" x14ac:dyDescent="0.25">
      <c r="A38" s="14"/>
      <c r="B38" s="31" t="s">
        <v>169</v>
      </c>
      <c r="C38" s="62"/>
      <c r="D38" s="17"/>
      <c r="E38" s="32"/>
      <c r="F38" s="7"/>
      <c r="G38" s="8"/>
    </row>
    <row r="39" spans="1:7" ht="25.5" x14ac:dyDescent="0.25">
      <c r="A39" s="30" t="s">
        <v>48</v>
      </c>
      <c r="B39" s="19" t="s">
        <v>49</v>
      </c>
      <c r="C39" s="62" t="s">
        <v>12</v>
      </c>
      <c r="D39" s="16">
        <v>620</v>
      </c>
      <c r="E39" s="28">
        <f>'[2]информац обслуж'!C9</f>
        <v>607.78</v>
      </c>
      <c r="F39" s="7">
        <f>E39/D39*100-100</f>
        <v>-1.9709677419354961</v>
      </c>
      <c r="G39" s="80" t="s">
        <v>186</v>
      </c>
    </row>
    <row r="40" spans="1:7" ht="25.5" x14ac:dyDescent="0.25">
      <c r="A40" s="30" t="s">
        <v>50</v>
      </c>
      <c r="B40" s="11" t="s">
        <v>51</v>
      </c>
      <c r="C40" s="62" t="s">
        <v>12</v>
      </c>
      <c r="D40" s="16">
        <v>1083</v>
      </c>
      <c r="E40" s="16">
        <f>[2]экология!C14</f>
        <v>1097.664</v>
      </c>
      <c r="F40" s="7">
        <f>E40/D40*100-100</f>
        <v>1.3540166204986122</v>
      </c>
      <c r="G40" s="80" t="s">
        <v>214</v>
      </c>
    </row>
    <row r="41" spans="1:7" ht="31.5" x14ac:dyDescent="0.25">
      <c r="A41" s="30" t="s">
        <v>52</v>
      </c>
      <c r="B41" s="19" t="s">
        <v>53</v>
      </c>
      <c r="C41" s="62" t="s">
        <v>12</v>
      </c>
      <c r="D41" s="16">
        <v>220</v>
      </c>
      <c r="E41" s="28">
        <f>[2]энергоаудит!C7</f>
        <v>220</v>
      </c>
      <c r="F41" s="7">
        <f>E41/D41*100-100</f>
        <v>0</v>
      </c>
      <c r="G41" s="80" t="s">
        <v>182</v>
      </c>
    </row>
    <row r="42" spans="1:7" ht="31.5" x14ac:dyDescent="0.25">
      <c r="A42" s="30" t="s">
        <v>54</v>
      </c>
      <c r="B42" s="11" t="s">
        <v>55</v>
      </c>
      <c r="C42" s="62" t="s">
        <v>12</v>
      </c>
      <c r="D42" s="29">
        <v>26</v>
      </c>
      <c r="E42" s="28">
        <v>26</v>
      </c>
      <c r="F42" s="7">
        <f>E42/D42*100-100</f>
        <v>0</v>
      </c>
      <c r="G42" s="80" t="s">
        <v>182</v>
      </c>
    </row>
    <row r="43" spans="1:7" ht="47.25" x14ac:dyDescent="0.25">
      <c r="A43" s="30" t="s">
        <v>56</v>
      </c>
      <c r="B43" s="19" t="s">
        <v>57</v>
      </c>
      <c r="C43" s="62" t="s">
        <v>12</v>
      </c>
      <c r="D43" s="16">
        <v>2280</v>
      </c>
      <c r="E43" s="28">
        <f>'[2]ремонт тепло электро'!C19</f>
        <v>2281.23</v>
      </c>
      <c r="F43" s="7">
        <f>E43/D43*100-100</f>
        <v>5.3947368421063402E-2</v>
      </c>
      <c r="G43" s="80" t="s">
        <v>182</v>
      </c>
    </row>
    <row r="44" spans="1:7" hidden="1" x14ac:dyDescent="0.25">
      <c r="A44" s="30" t="s">
        <v>58</v>
      </c>
      <c r="B44" s="31" t="s">
        <v>170</v>
      </c>
      <c r="C44" s="62"/>
      <c r="D44" s="17"/>
      <c r="E44" s="32"/>
      <c r="F44" s="7" t="e">
        <f t="shared" si="1"/>
        <v>#DIV/0!</v>
      </c>
      <c r="G44" s="8"/>
    </row>
    <row r="45" spans="1:7" hidden="1" x14ac:dyDescent="0.25">
      <c r="A45" s="30" t="s">
        <v>59</v>
      </c>
      <c r="B45" s="31" t="s">
        <v>171</v>
      </c>
      <c r="C45" s="62"/>
      <c r="D45" s="17"/>
      <c r="E45" s="32"/>
      <c r="F45" s="7" t="e">
        <f t="shared" si="1"/>
        <v>#DIV/0!</v>
      </c>
      <c r="G45" s="8"/>
    </row>
    <row r="46" spans="1:7" ht="47.25" hidden="1" x14ac:dyDescent="0.25">
      <c r="A46" s="30" t="s">
        <v>60</v>
      </c>
      <c r="B46" s="31" t="s">
        <v>172</v>
      </c>
      <c r="C46" s="62"/>
      <c r="D46" s="17"/>
      <c r="E46" s="32"/>
      <c r="F46" s="7" t="e">
        <f t="shared" si="1"/>
        <v>#DIV/0!</v>
      </c>
      <c r="G46" s="8"/>
    </row>
    <row r="47" spans="1:7" ht="31.5" x14ac:dyDescent="0.25">
      <c r="A47" s="30" t="s">
        <v>58</v>
      </c>
      <c r="B47" s="11" t="s">
        <v>61</v>
      </c>
      <c r="C47" s="62" t="s">
        <v>12</v>
      </c>
      <c r="D47" s="16">
        <v>2733</v>
      </c>
      <c r="E47" s="28">
        <f>'[2]техобсл ТС'!C11</f>
        <v>2881.3629999999998</v>
      </c>
      <c r="F47" s="7">
        <f>E47/D47*100-100</f>
        <v>5.4285766556897244</v>
      </c>
      <c r="G47" s="80" t="s">
        <v>206</v>
      </c>
    </row>
    <row r="48" spans="1:7" ht="47.25" x14ac:dyDescent="0.25">
      <c r="A48" s="14" t="s">
        <v>59</v>
      </c>
      <c r="B48" s="11" t="s">
        <v>62</v>
      </c>
      <c r="C48" s="19" t="s">
        <v>12</v>
      </c>
      <c r="D48" s="16">
        <v>2221</v>
      </c>
      <c r="E48" s="28">
        <f>'[2]Захорон ПО'!C7</f>
        <v>2107.2910000000002</v>
      </c>
      <c r="F48" s="33">
        <f>E48/D48*100-100</f>
        <v>-5.1197208464655546</v>
      </c>
      <c r="G48" s="80" t="s">
        <v>185</v>
      </c>
    </row>
    <row r="49" spans="1:11" x14ac:dyDescent="0.25">
      <c r="A49" s="30" t="s">
        <v>60</v>
      </c>
      <c r="B49" s="34" t="s">
        <v>63</v>
      </c>
      <c r="C49" s="62" t="s">
        <v>12</v>
      </c>
      <c r="D49" s="16">
        <v>600</v>
      </c>
      <c r="E49" s="28">
        <f>[2]метеоуслуги!C7</f>
        <v>599.89700000000005</v>
      </c>
      <c r="F49" s="7">
        <f>E49/D49*100-100</f>
        <v>-1.7166666666653896E-2</v>
      </c>
      <c r="G49" s="80" t="s">
        <v>182</v>
      </c>
    </row>
    <row r="50" spans="1:11" ht="63" x14ac:dyDescent="0.25">
      <c r="A50" s="14" t="s">
        <v>64</v>
      </c>
      <c r="B50" s="11" t="s">
        <v>65</v>
      </c>
      <c r="C50" s="62" t="s">
        <v>12</v>
      </c>
      <c r="D50" s="16">
        <v>720</v>
      </c>
      <c r="E50" s="28">
        <f>'[2]выдача эксп закл'!C7</f>
        <v>720</v>
      </c>
      <c r="F50" s="7">
        <f>E50/D50*100-100</f>
        <v>0</v>
      </c>
      <c r="G50" s="80" t="s">
        <v>182</v>
      </c>
    </row>
    <row r="51" spans="1:11" x14ac:dyDescent="0.25">
      <c r="A51" s="35">
        <v>6</v>
      </c>
      <c r="B51" s="26" t="s">
        <v>66</v>
      </c>
      <c r="C51" s="62" t="s">
        <v>12</v>
      </c>
      <c r="D51" s="27">
        <f>D53+D62+D63+D64+D65+D66</f>
        <v>42643</v>
      </c>
      <c r="E51" s="27">
        <f>E53+E62+E63+E64+E65+E66</f>
        <v>43285.457000000002</v>
      </c>
      <c r="F51" s="7">
        <f>E51/D51*100-100</f>
        <v>1.5065942827662298</v>
      </c>
      <c r="G51" s="8"/>
    </row>
    <row r="52" spans="1:11" x14ac:dyDescent="0.25">
      <c r="A52" s="36"/>
      <c r="B52" s="18" t="s">
        <v>8</v>
      </c>
      <c r="C52" s="19"/>
      <c r="D52" s="37"/>
      <c r="E52" s="8"/>
      <c r="F52" s="7"/>
      <c r="G52" s="8"/>
    </row>
    <row r="53" spans="1:11" ht="51" x14ac:dyDescent="0.25">
      <c r="A53" s="14" t="s">
        <v>67</v>
      </c>
      <c r="B53" s="11" t="s">
        <v>68</v>
      </c>
      <c r="C53" s="62" t="s">
        <v>12</v>
      </c>
      <c r="D53" s="29">
        <v>13177</v>
      </c>
      <c r="E53" s="16">
        <f>E54+E55+E56+E57+E58+E59+E60+E61</f>
        <v>13921.78</v>
      </c>
      <c r="F53" s="7">
        <f>E53/D53*100-100</f>
        <v>5.6521211201335859</v>
      </c>
      <c r="G53" s="86" t="s">
        <v>213</v>
      </c>
      <c r="I53" s="104"/>
      <c r="J53" s="104"/>
      <c r="K53" s="104"/>
    </row>
    <row r="54" spans="1:11" hidden="1" x14ac:dyDescent="0.25">
      <c r="A54" s="38"/>
      <c r="B54" s="31" t="s">
        <v>69</v>
      </c>
      <c r="C54" s="62"/>
      <c r="D54" s="17"/>
      <c r="E54" s="16">
        <v>10085.527</v>
      </c>
      <c r="F54" s="7"/>
      <c r="G54" s="8"/>
    </row>
    <row r="55" spans="1:11" hidden="1" x14ac:dyDescent="0.25">
      <c r="A55" s="38"/>
      <c r="B55" s="31" t="s">
        <v>70</v>
      </c>
      <c r="C55" s="62"/>
      <c r="D55" s="17"/>
      <c r="E55" s="16"/>
      <c r="F55" s="7"/>
      <c r="G55" s="8"/>
    </row>
    <row r="56" spans="1:11" hidden="1" x14ac:dyDescent="0.25">
      <c r="A56" s="38"/>
      <c r="B56" s="31" t="s">
        <v>71</v>
      </c>
      <c r="C56" s="62"/>
      <c r="D56" s="17"/>
      <c r="E56" s="16"/>
      <c r="F56" s="7"/>
      <c r="G56" s="8"/>
    </row>
    <row r="57" spans="1:11" hidden="1" x14ac:dyDescent="0.25">
      <c r="A57" s="38"/>
      <c r="B57" s="31" t="s">
        <v>72</v>
      </c>
      <c r="C57" s="62"/>
      <c r="D57" s="17"/>
      <c r="E57" s="16">
        <v>2269.19</v>
      </c>
      <c r="F57" s="7"/>
      <c r="G57" s="8"/>
    </row>
    <row r="58" spans="1:11" hidden="1" x14ac:dyDescent="0.25">
      <c r="A58" s="38"/>
      <c r="B58" s="31" t="s">
        <v>73</v>
      </c>
      <c r="C58" s="62"/>
      <c r="D58" s="17"/>
      <c r="E58" s="16">
        <v>1377.28</v>
      </c>
      <c r="F58" s="7"/>
      <c r="G58" s="8"/>
    </row>
    <row r="59" spans="1:11" hidden="1" x14ac:dyDescent="0.25">
      <c r="A59" s="38"/>
      <c r="B59" s="31" t="s">
        <v>74</v>
      </c>
      <c r="C59" s="62"/>
      <c r="D59" s="17"/>
      <c r="E59" s="16"/>
      <c r="F59" s="7"/>
      <c r="G59" s="8"/>
    </row>
    <row r="60" spans="1:11" hidden="1" x14ac:dyDescent="0.25">
      <c r="A60" s="38"/>
      <c r="B60" s="31" t="s">
        <v>75</v>
      </c>
      <c r="C60" s="62"/>
      <c r="D60" s="17"/>
      <c r="E60" s="16">
        <v>189.78299999999999</v>
      </c>
      <c r="F60" s="7"/>
      <c r="G60" s="8"/>
    </row>
    <row r="61" spans="1:11" hidden="1" x14ac:dyDescent="0.25">
      <c r="A61" s="38"/>
      <c r="B61" s="31" t="s">
        <v>76</v>
      </c>
      <c r="C61" s="62"/>
      <c r="D61" s="17"/>
      <c r="E61" s="16"/>
      <c r="F61" s="7"/>
      <c r="G61" s="8"/>
    </row>
    <row r="62" spans="1:11" x14ac:dyDescent="0.25">
      <c r="A62" s="38" t="s">
        <v>77</v>
      </c>
      <c r="B62" s="34" t="s">
        <v>78</v>
      </c>
      <c r="C62" s="62" t="s">
        <v>12</v>
      </c>
      <c r="D62" s="16">
        <v>19556</v>
      </c>
      <c r="E62" s="16">
        <v>19556.028999999999</v>
      </c>
      <c r="F62" s="7">
        <f t="shared" ref="F62:F68" si="2">E62/D62*100-100</f>
        <v>1.4829208426192508E-4</v>
      </c>
      <c r="G62" s="80" t="s">
        <v>182</v>
      </c>
    </row>
    <row r="63" spans="1:11" ht="63.75" x14ac:dyDescent="0.25">
      <c r="A63" s="14" t="s">
        <v>79</v>
      </c>
      <c r="B63" s="15" t="s">
        <v>80</v>
      </c>
      <c r="C63" s="62" t="s">
        <v>12</v>
      </c>
      <c r="D63" s="16">
        <v>3804</v>
      </c>
      <c r="E63" s="16">
        <v>3922.8330000000001</v>
      </c>
      <c r="F63" s="7">
        <f t="shared" si="2"/>
        <v>3.1238958990536219</v>
      </c>
      <c r="G63" s="80" t="s">
        <v>212</v>
      </c>
    </row>
    <row r="64" spans="1:11" ht="51" x14ac:dyDescent="0.25">
      <c r="A64" s="21" t="s">
        <v>81</v>
      </c>
      <c r="B64" s="22" t="s">
        <v>82</v>
      </c>
      <c r="C64" s="61" t="s">
        <v>12</v>
      </c>
      <c r="D64" s="16">
        <v>2147</v>
      </c>
      <c r="E64" s="16">
        <f>624.135+392.66+387.205+569.985</f>
        <v>1973.9850000000001</v>
      </c>
      <c r="F64" s="23">
        <f t="shared" si="2"/>
        <v>-8.0584536562645468</v>
      </c>
      <c r="G64" s="80" t="s">
        <v>193</v>
      </c>
    </row>
    <row r="65" spans="1:9" x14ac:dyDescent="0.25">
      <c r="A65" s="38" t="s">
        <v>83</v>
      </c>
      <c r="B65" s="19" t="s">
        <v>84</v>
      </c>
      <c r="C65" s="62" t="s">
        <v>12</v>
      </c>
      <c r="D65" s="16">
        <v>1607</v>
      </c>
      <c r="E65" s="16">
        <v>1559.08</v>
      </c>
      <c r="F65" s="7">
        <f t="shared" si="2"/>
        <v>-2.9819539514623585</v>
      </c>
      <c r="G65" s="83" t="s">
        <v>194</v>
      </c>
    </row>
    <row r="66" spans="1:9" x14ac:dyDescent="0.25">
      <c r="A66" s="38" t="s">
        <v>85</v>
      </c>
      <c r="B66" s="34" t="s">
        <v>86</v>
      </c>
      <c r="C66" s="62" t="s">
        <v>12</v>
      </c>
      <c r="D66" s="16">
        <v>2352</v>
      </c>
      <c r="E66" s="16">
        <v>2351.75</v>
      </c>
      <c r="F66" s="7">
        <f t="shared" si="2"/>
        <v>-1.0629251700677855E-2</v>
      </c>
      <c r="G66" s="80" t="s">
        <v>182</v>
      </c>
    </row>
    <row r="67" spans="1:9" x14ac:dyDescent="0.25">
      <c r="A67" s="35" t="s">
        <v>87</v>
      </c>
      <c r="B67" s="26" t="s">
        <v>88</v>
      </c>
      <c r="C67" s="62" t="s">
        <v>12</v>
      </c>
      <c r="D67" s="27">
        <f>D68</f>
        <v>1125172.6200000001</v>
      </c>
      <c r="E67" s="27">
        <f>E68</f>
        <v>1392493.1669000001</v>
      </c>
      <c r="F67" s="7">
        <f t="shared" si="2"/>
        <v>23.758180935828307</v>
      </c>
      <c r="G67" s="8"/>
    </row>
    <row r="68" spans="1:9" ht="31.5" x14ac:dyDescent="0.25">
      <c r="A68" s="14">
        <v>7</v>
      </c>
      <c r="B68" s="60" t="s">
        <v>89</v>
      </c>
      <c r="C68" s="4" t="s">
        <v>12</v>
      </c>
      <c r="D68" s="6">
        <f>D70+D75+D76+D77+D78+D79+D80+D81+D82+D83+D97</f>
        <v>1125172.6200000001</v>
      </c>
      <c r="E68" s="6">
        <f>E70+E75+E76+E77+E78+E79+E80+E81+E82+E83+E97</f>
        <v>1392493.1669000001</v>
      </c>
      <c r="F68" s="7">
        <f t="shared" si="2"/>
        <v>23.758180935828307</v>
      </c>
      <c r="G68" s="8"/>
    </row>
    <row r="69" spans="1:9" x14ac:dyDescent="0.25">
      <c r="A69" s="36"/>
      <c r="B69" s="18" t="s">
        <v>8</v>
      </c>
      <c r="C69" s="19"/>
      <c r="D69" s="37"/>
      <c r="E69" s="8"/>
      <c r="F69" s="7"/>
      <c r="G69" s="8"/>
    </row>
    <row r="70" spans="1:9" x14ac:dyDescent="0.25">
      <c r="A70" s="14" t="s">
        <v>90</v>
      </c>
      <c r="B70" s="34" t="s">
        <v>18</v>
      </c>
      <c r="C70" s="62" t="s">
        <v>12</v>
      </c>
      <c r="D70" s="16">
        <f>D72+D73+D74</f>
        <v>150152.62</v>
      </c>
      <c r="E70" s="16">
        <f>E72+E73+E74</f>
        <v>153311.93290000001</v>
      </c>
      <c r="F70" s="7">
        <f>E70/D70*100-100</f>
        <v>2.1040677811682684</v>
      </c>
      <c r="G70" s="8"/>
    </row>
    <row r="71" spans="1:9" x14ac:dyDescent="0.25">
      <c r="A71" s="9"/>
      <c r="B71" s="18" t="s">
        <v>8</v>
      </c>
      <c r="C71" s="19"/>
      <c r="D71" s="16"/>
      <c r="E71" s="8"/>
      <c r="F71" s="7"/>
      <c r="G71" s="8"/>
    </row>
    <row r="72" spans="1:9" ht="31.5" x14ac:dyDescent="0.25">
      <c r="A72" s="14" t="s">
        <v>91</v>
      </c>
      <c r="B72" s="34" t="s">
        <v>92</v>
      </c>
      <c r="C72" s="62" t="s">
        <v>12</v>
      </c>
      <c r="D72" s="16">
        <v>136440</v>
      </c>
      <c r="E72" s="16">
        <v>139512.20000000001</v>
      </c>
      <c r="F72" s="7">
        <f t="shared" ref="F72:F83" si="3">E72/D72*100-100</f>
        <v>2.2516857226619891</v>
      </c>
      <c r="G72" s="100" t="s">
        <v>192</v>
      </c>
    </row>
    <row r="73" spans="1:9" ht="31.5" x14ac:dyDescent="0.25">
      <c r="A73" s="14" t="s">
        <v>93</v>
      </c>
      <c r="B73" s="34" t="s">
        <v>22</v>
      </c>
      <c r="C73" s="62" t="s">
        <v>12</v>
      </c>
      <c r="D73" s="16">
        <f>'[1]заработная плата'!D12</f>
        <v>11665.62</v>
      </c>
      <c r="E73" s="16">
        <v>11953.4329</v>
      </c>
      <c r="F73" s="7">
        <f t="shared" si="3"/>
        <v>2.4671890563896284</v>
      </c>
      <c r="G73" s="101"/>
    </row>
    <row r="74" spans="1:9" ht="127.5" x14ac:dyDescent="0.25">
      <c r="A74" s="21" t="s">
        <v>94</v>
      </c>
      <c r="B74" s="22" t="s">
        <v>26</v>
      </c>
      <c r="C74" s="63" t="s">
        <v>12</v>
      </c>
      <c r="D74" s="16">
        <v>2047</v>
      </c>
      <c r="E74" s="17">
        <v>1846.3</v>
      </c>
      <c r="F74" s="23">
        <f t="shared" si="3"/>
        <v>-9.8045920859794791</v>
      </c>
      <c r="G74" s="80" t="s">
        <v>207</v>
      </c>
    </row>
    <row r="75" spans="1:9" x14ac:dyDescent="0.25">
      <c r="A75" s="21" t="s">
        <v>95</v>
      </c>
      <c r="B75" s="39" t="s">
        <v>27</v>
      </c>
      <c r="C75" s="63" t="s">
        <v>12</v>
      </c>
      <c r="D75" s="16">
        <v>22598</v>
      </c>
      <c r="E75" s="16">
        <f>21271.01+200</f>
        <v>21471.01</v>
      </c>
      <c r="F75" s="23">
        <f t="shared" si="3"/>
        <v>-4.9871227542260499</v>
      </c>
      <c r="G75" s="83" t="s">
        <v>194</v>
      </c>
      <c r="I75" s="64"/>
    </row>
    <row r="76" spans="1:9" ht="63.75" x14ac:dyDescent="0.25">
      <c r="A76" s="14" t="s">
        <v>96</v>
      </c>
      <c r="B76" s="11" t="s">
        <v>97</v>
      </c>
      <c r="C76" s="62" t="s">
        <v>12</v>
      </c>
      <c r="D76" s="16">
        <v>888500</v>
      </c>
      <c r="E76" s="16">
        <f>1306.232+71.132+1145100+3207.88+1614.636+195.701+722.055+2065.007</f>
        <v>1154282.6429999997</v>
      </c>
      <c r="F76" s="7">
        <f t="shared" si="3"/>
        <v>29.913634552616742</v>
      </c>
      <c r="G76" s="80" t="s">
        <v>187</v>
      </c>
    </row>
    <row r="77" spans="1:9" x14ac:dyDescent="0.25">
      <c r="A77" s="21" t="s">
        <v>98</v>
      </c>
      <c r="B77" s="65" t="s">
        <v>99</v>
      </c>
      <c r="C77" s="63" t="s">
        <v>12</v>
      </c>
      <c r="D77" s="16">
        <v>1502</v>
      </c>
      <c r="E77" s="16">
        <v>1494.8679999999999</v>
      </c>
      <c r="F77" s="23">
        <f t="shared" si="3"/>
        <v>-0.47483355525966431</v>
      </c>
      <c r="G77" s="83" t="s">
        <v>194</v>
      </c>
    </row>
    <row r="78" spans="1:9" ht="38.25" x14ac:dyDescent="0.25">
      <c r="A78" s="14" t="s">
        <v>100</v>
      </c>
      <c r="B78" s="11" t="s">
        <v>101</v>
      </c>
      <c r="C78" s="62" t="s">
        <v>12</v>
      </c>
      <c r="D78" s="16">
        <v>3776</v>
      </c>
      <c r="E78" s="16">
        <f>'[2]комм расходы'!C11</f>
        <v>3743.4110000000001</v>
      </c>
      <c r="F78" s="7">
        <f t="shared" si="3"/>
        <v>-0.86305614406779796</v>
      </c>
      <c r="G78" s="80" t="s">
        <v>188</v>
      </c>
    </row>
    <row r="79" spans="1:9" ht="38.25" x14ac:dyDescent="0.25">
      <c r="A79" s="21" t="s">
        <v>102</v>
      </c>
      <c r="B79" s="22" t="s">
        <v>82</v>
      </c>
      <c r="C79" s="61" t="s">
        <v>12</v>
      </c>
      <c r="D79" s="16">
        <v>1313</v>
      </c>
      <c r="E79" s="16">
        <f>301.262+308.262+252.525+50.505</f>
        <v>912.55399999999997</v>
      </c>
      <c r="F79" s="23">
        <f t="shared" si="3"/>
        <v>-30.498552932216299</v>
      </c>
      <c r="G79" s="80" t="s">
        <v>190</v>
      </c>
    </row>
    <row r="80" spans="1:9" ht="25.5" x14ac:dyDescent="0.25">
      <c r="A80" s="14" t="s">
        <v>103</v>
      </c>
      <c r="B80" s="15" t="s">
        <v>45</v>
      </c>
      <c r="C80" s="62" t="s">
        <v>12</v>
      </c>
      <c r="D80" s="16">
        <v>2109</v>
      </c>
      <c r="E80" s="16">
        <f>2103.575</f>
        <v>2103.5749999999998</v>
      </c>
      <c r="F80" s="7">
        <f t="shared" si="3"/>
        <v>-0.25723091512566043</v>
      </c>
      <c r="G80" s="80" t="s">
        <v>189</v>
      </c>
    </row>
    <row r="81" spans="1:10" ht="47.25" x14ac:dyDescent="0.25">
      <c r="A81" s="14" t="s">
        <v>104</v>
      </c>
      <c r="B81" s="15" t="s">
        <v>105</v>
      </c>
      <c r="C81" s="4" t="s">
        <v>12</v>
      </c>
      <c r="D81" s="16">
        <v>2381</v>
      </c>
      <c r="E81" s="16">
        <f>470.985+142.399+1721.28</f>
        <v>2334.6639999999998</v>
      </c>
      <c r="F81" s="7">
        <f t="shared" si="3"/>
        <v>-1.9460730785384328</v>
      </c>
      <c r="G81" s="80" t="s">
        <v>201</v>
      </c>
    </row>
    <row r="82" spans="1:10" ht="36.75" x14ac:dyDescent="0.25">
      <c r="A82" s="21" t="s">
        <v>106</v>
      </c>
      <c r="B82" s="22" t="s">
        <v>107</v>
      </c>
      <c r="C82" s="61" t="s">
        <v>12</v>
      </c>
      <c r="D82" s="16">
        <v>1179</v>
      </c>
      <c r="E82" s="16">
        <v>1112.337</v>
      </c>
      <c r="F82" s="23">
        <f t="shared" si="3"/>
        <v>-5.6541984732824488</v>
      </c>
      <c r="G82" s="67" t="s">
        <v>202</v>
      </c>
    </row>
    <row r="83" spans="1:10" x14ac:dyDescent="0.25">
      <c r="A83" s="14" t="s">
        <v>108</v>
      </c>
      <c r="B83" s="34" t="s">
        <v>109</v>
      </c>
      <c r="C83" s="62" t="s">
        <v>12</v>
      </c>
      <c r="D83" s="16">
        <f>D85+D86+D87+D88+D89+D90+D91+D92+D93+D94+D95+D96</f>
        <v>42865</v>
      </c>
      <c r="E83" s="16">
        <f>E85+E86+E87+E88+E89+E90+E91+E92+E93+E94+E95+E96</f>
        <v>42929.649000000005</v>
      </c>
      <c r="F83" s="7">
        <f t="shared" si="3"/>
        <v>0.15082001633035702</v>
      </c>
      <c r="G83" s="8"/>
    </row>
    <row r="84" spans="1:10" x14ac:dyDescent="0.25">
      <c r="A84" s="9"/>
      <c r="B84" s="18" t="s">
        <v>8</v>
      </c>
      <c r="C84" s="62" t="s">
        <v>12</v>
      </c>
      <c r="D84" s="16"/>
      <c r="E84" s="24"/>
      <c r="F84" s="7"/>
      <c r="G84" s="8"/>
    </row>
    <row r="85" spans="1:10" x14ac:dyDescent="0.25">
      <c r="A85" s="14" t="s">
        <v>110</v>
      </c>
      <c r="B85" s="19" t="s">
        <v>111</v>
      </c>
      <c r="C85" s="62" t="s">
        <v>12</v>
      </c>
      <c r="D85" s="16">
        <v>18697</v>
      </c>
      <c r="E85" s="16">
        <v>18697.416000000001</v>
      </c>
      <c r="F85" s="7">
        <f t="shared" ref="F85:F101" si="4">E85/D85*100-100</f>
        <v>2.2249558752776011E-3</v>
      </c>
      <c r="G85" s="80" t="s">
        <v>182</v>
      </c>
    </row>
    <row r="86" spans="1:10" ht="47.25" x14ac:dyDescent="0.25">
      <c r="A86" s="14" t="s">
        <v>112</v>
      </c>
      <c r="B86" s="19" t="s">
        <v>113</v>
      </c>
      <c r="C86" s="62" t="s">
        <v>12</v>
      </c>
      <c r="D86" s="16">
        <v>8459</v>
      </c>
      <c r="E86" s="16">
        <f>1680.346+104+6587.252</f>
        <v>8371.598</v>
      </c>
      <c r="F86" s="7">
        <f t="shared" si="4"/>
        <v>-1.0332427000827522</v>
      </c>
      <c r="G86" s="83" t="s">
        <v>194</v>
      </c>
    </row>
    <row r="87" spans="1:10" ht="36.75" x14ac:dyDescent="0.25">
      <c r="A87" s="14" t="s">
        <v>114</v>
      </c>
      <c r="B87" s="11" t="s">
        <v>115</v>
      </c>
      <c r="C87" s="62" t="s">
        <v>12</v>
      </c>
      <c r="D87" s="16">
        <v>5297</v>
      </c>
      <c r="E87" s="16">
        <v>5283.482</v>
      </c>
      <c r="F87" s="7">
        <f t="shared" si="4"/>
        <v>-0.25520105720218567</v>
      </c>
      <c r="G87" s="67" t="s">
        <v>203</v>
      </c>
    </row>
    <row r="88" spans="1:10" ht="26.25" x14ac:dyDescent="0.25">
      <c r="A88" s="14" t="s">
        <v>116</v>
      </c>
      <c r="B88" s="11" t="s">
        <v>84</v>
      </c>
      <c r="C88" s="62" t="s">
        <v>12</v>
      </c>
      <c r="D88" s="16">
        <v>824</v>
      </c>
      <c r="E88" s="16">
        <v>827.57600000000002</v>
      </c>
      <c r="F88" s="7">
        <f t="shared" si="4"/>
        <v>0.43398058252428484</v>
      </c>
      <c r="G88" s="85" t="s">
        <v>198</v>
      </c>
    </row>
    <row r="89" spans="1:10" x14ac:dyDescent="0.25">
      <c r="A89" s="40" t="s">
        <v>117</v>
      </c>
      <c r="B89" s="66" t="s">
        <v>118</v>
      </c>
      <c r="C89" s="62" t="s">
        <v>12</v>
      </c>
      <c r="D89" s="16">
        <v>328</v>
      </c>
      <c r="E89" s="16">
        <f>295.878+23.634</f>
        <v>319.512</v>
      </c>
      <c r="F89" s="7">
        <f t="shared" si="4"/>
        <v>-2.5878048780487859</v>
      </c>
      <c r="G89" s="83" t="s">
        <v>194</v>
      </c>
    </row>
    <row r="90" spans="1:10" ht="168" x14ac:dyDescent="0.25">
      <c r="A90" s="14" t="s">
        <v>119</v>
      </c>
      <c r="B90" s="11" t="s">
        <v>80</v>
      </c>
      <c r="C90" s="62" t="s">
        <v>12</v>
      </c>
      <c r="D90" s="16">
        <v>976</v>
      </c>
      <c r="E90" s="16">
        <v>1133.2539999999999</v>
      </c>
      <c r="F90" s="7">
        <f t="shared" si="4"/>
        <v>16.112090163934425</v>
      </c>
      <c r="G90" s="87" t="s">
        <v>215</v>
      </c>
    </row>
    <row r="91" spans="1:10" x14ac:dyDescent="0.25">
      <c r="A91" s="14" t="s">
        <v>120</v>
      </c>
      <c r="B91" s="19" t="s">
        <v>121</v>
      </c>
      <c r="C91" s="62" t="s">
        <v>12</v>
      </c>
      <c r="D91" s="16">
        <v>302</v>
      </c>
      <c r="E91" s="16">
        <v>301.91000000000003</v>
      </c>
      <c r="F91" s="7">
        <f t="shared" si="4"/>
        <v>-2.98013245032962E-2</v>
      </c>
      <c r="G91" s="80" t="s">
        <v>182</v>
      </c>
    </row>
    <row r="92" spans="1:10" x14ac:dyDescent="0.25">
      <c r="A92" s="14" t="s">
        <v>122</v>
      </c>
      <c r="B92" s="34" t="s">
        <v>78</v>
      </c>
      <c r="C92" s="62" t="s">
        <v>12</v>
      </c>
      <c r="D92" s="16">
        <v>1528</v>
      </c>
      <c r="E92" s="16">
        <v>1528.473</v>
      </c>
      <c r="F92" s="7">
        <f t="shared" si="4"/>
        <v>3.0955497382194608E-2</v>
      </c>
      <c r="G92" s="80" t="s">
        <v>182</v>
      </c>
    </row>
    <row r="93" spans="1:10" ht="24.75" x14ac:dyDescent="0.25">
      <c r="A93" s="21" t="s">
        <v>123</v>
      </c>
      <c r="B93" s="41" t="s">
        <v>124</v>
      </c>
      <c r="C93" s="63" t="s">
        <v>12</v>
      </c>
      <c r="D93" s="16">
        <v>368</v>
      </c>
      <c r="E93" s="16">
        <f>340.436+17.5</f>
        <v>357.93599999999998</v>
      </c>
      <c r="F93" s="23">
        <f t="shared" si="4"/>
        <v>-2.7347826086956672</v>
      </c>
      <c r="G93" s="67" t="s">
        <v>195</v>
      </c>
      <c r="J93" s="42"/>
    </row>
    <row r="94" spans="1:10" ht="31.5" x14ac:dyDescent="0.25">
      <c r="A94" s="14" t="s">
        <v>125</v>
      </c>
      <c r="B94" s="19" t="s">
        <v>126</v>
      </c>
      <c r="C94" s="62" t="s">
        <v>12</v>
      </c>
      <c r="D94" s="16">
        <v>5348</v>
      </c>
      <c r="E94" s="16">
        <f>3605.31+237.8+2378.2-849.8</f>
        <v>5371.5099999999993</v>
      </c>
      <c r="F94" s="7">
        <f t="shared" si="4"/>
        <v>0.43960359012713468</v>
      </c>
      <c r="G94" s="106" t="s">
        <v>216</v>
      </c>
    </row>
    <row r="95" spans="1:10" x14ac:dyDescent="0.25">
      <c r="A95" s="14" t="s">
        <v>127</v>
      </c>
      <c r="B95" s="19" t="s">
        <v>128</v>
      </c>
      <c r="C95" s="62" t="s">
        <v>12</v>
      </c>
      <c r="D95" s="16">
        <v>644</v>
      </c>
      <c r="E95" s="16">
        <v>642.98199999999997</v>
      </c>
      <c r="F95" s="7">
        <f>E95/D95*100-100</f>
        <v>-0.15807453416148576</v>
      </c>
      <c r="G95" s="83" t="s">
        <v>194</v>
      </c>
    </row>
    <row r="96" spans="1:10" x14ac:dyDescent="0.25">
      <c r="A96" s="14" t="s">
        <v>129</v>
      </c>
      <c r="B96" s="19" t="s">
        <v>130</v>
      </c>
      <c r="C96" s="62" t="s">
        <v>12</v>
      </c>
      <c r="D96" s="16">
        <v>94</v>
      </c>
      <c r="E96" s="16">
        <v>94</v>
      </c>
      <c r="F96" s="7">
        <f t="shared" si="4"/>
        <v>0</v>
      </c>
      <c r="G96" s="80" t="s">
        <v>182</v>
      </c>
    </row>
    <row r="97" spans="1:7" ht="31.5" x14ac:dyDescent="0.25">
      <c r="A97" s="14" t="s">
        <v>131</v>
      </c>
      <c r="B97" s="19" t="s">
        <v>132</v>
      </c>
      <c r="C97" s="4" t="s">
        <v>12</v>
      </c>
      <c r="D97" s="16">
        <v>8797</v>
      </c>
      <c r="E97" s="16">
        <v>8796.5229999999992</v>
      </c>
      <c r="F97" s="7">
        <f t="shared" si="4"/>
        <v>-5.4223030578697262E-3</v>
      </c>
      <c r="G97" s="80" t="s">
        <v>182</v>
      </c>
    </row>
    <row r="98" spans="1:7" x14ac:dyDescent="0.25">
      <c r="A98" s="35" t="s">
        <v>133</v>
      </c>
      <c r="B98" s="26" t="s">
        <v>134</v>
      </c>
      <c r="C98" s="62" t="s">
        <v>12</v>
      </c>
      <c r="D98" s="43">
        <f>D6+D67+D104</f>
        <v>6380082.4515000004</v>
      </c>
      <c r="E98" s="43">
        <f>E6+E67+E104</f>
        <v>7530126.5725035006</v>
      </c>
      <c r="F98" s="7">
        <f t="shared" si="4"/>
        <v>18.025536969872817</v>
      </c>
      <c r="G98" s="8"/>
    </row>
    <row r="99" spans="1:7" x14ac:dyDescent="0.25">
      <c r="A99" s="38" t="s">
        <v>135</v>
      </c>
      <c r="B99" s="34" t="s">
        <v>136</v>
      </c>
      <c r="C99" s="62" t="s">
        <v>12</v>
      </c>
      <c r="D99" s="20">
        <v>10000</v>
      </c>
      <c r="E99" s="68">
        <f>E100-E98</f>
        <v>-66485.703862800263</v>
      </c>
      <c r="F99" s="7">
        <f t="shared" si="4"/>
        <v>-764.85703862800256</v>
      </c>
      <c r="G99" s="8"/>
    </row>
    <row r="100" spans="1:7" x14ac:dyDescent="0.25">
      <c r="A100" s="35" t="s">
        <v>137</v>
      </c>
      <c r="B100" s="26" t="s">
        <v>138</v>
      </c>
      <c r="C100" s="62" t="s">
        <v>12</v>
      </c>
      <c r="D100" s="43">
        <f>D98+D99</f>
        <v>6390082.4515000004</v>
      </c>
      <c r="E100" s="43">
        <f>'[2]объем ПО'!E16</f>
        <v>7463640.8686407004</v>
      </c>
      <c r="F100" s="7">
        <f t="shared" si="4"/>
        <v>16.800384428352629</v>
      </c>
      <c r="G100" s="8"/>
    </row>
    <row r="101" spans="1:7" ht="51" x14ac:dyDescent="0.25">
      <c r="A101" s="59" t="s">
        <v>139</v>
      </c>
      <c r="B101" s="81" t="s">
        <v>140</v>
      </c>
      <c r="C101" s="69" t="s">
        <v>141</v>
      </c>
      <c r="D101" s="6">
        <v>5412875</v>
      </c>
      <c r="E101" s="6">
        <f>'[2]объем ПО'!C16</f>
        <v>6478032.3500000006</v>
      </c>
      <c r="F101" s="7">
        <f t="shared" si="4"/>
        <v>19.678218137311518</v>
      </c>
      <c r="G101" s="80" t="s">
        <v>191</v>
      </c>
    </row>
    <row r="102" spans="1:7" ht="21.75" customHeight="1" x14ac:dyDescent="0.25">
      <c r="A102" s="88" t="s">
        <v>142</v>
      </c>
      <c r="B102" s="89" t="s">
        <v>143</v>
      </c>
      <c r="C102" s="69" t="s">
        <v>144</v>
      </c>
      <c r="D102" s="44">
        <v>13.75</v>
      </c>
      <c r="E102" s="82">
        <v>12.2</v>
      </c>
      <c r="F102" s="7"/>
      <c r="G102" s="97" t="s">
        <v>204</v>
      </c>
    </row>
    <row r="103" spans="1:7" ht="21" customHeight="1" x14ac:dyDescent="0.25">
      <c r="A103" s="88"/>
      <c r="B103" s="89"/>
      <c r="C103" s="5" t="s">
        <v>141</v>
      </c>
      <c r="D103" s="6">
        <v>867000</v>
      </c>
      <c r="E103" s="6">
        <f>'[2]объем норм потерь'!C16</f>
        <v>907309.59</v>
      </c>
      <c r="F103" s="7">
        <f>E103/D103*100-100</f>
        <v>4.6493183391003328</v>
      </c>
      <c r="G103" s="98"/>
    </row>
    <row r="104" spans="1:7" ht="31.5" x14ac:dyDescent="0.25">
      <c r="A104" s="88"/>
      <c r="B104" s="89"/>
      <c r="C104" s="69" t="s">
        <v>5</v>
      </c>
      <c r="D104" s="45">
        <v>1411103</v>
      </c>
      <c r="E104" s="6">
        <f>'[2]объем норм потерь'!E16</f>
        <v>1540793.5019535001</v>
      </c>
      <c r="F104" s="7">
        <f>E104/D104*100-100</f>
        <v>9.1907183213061074</v>
      </c>
      <c r="G104" s="99"/>
    </row>
    <row r="105" spans="1:7" ht="31.5" x14ac:dyDescent="0.25">
      <c r="A105" s="59" t="s">
        <v>145</v>
      </c>
      <c r="B105" s="60" t="s">
        <v>146</v>
      </c>
      <c r="C105" s="70" t="s">
        <v>147</v>
      </c>
      <c r="D105" s="46">
        <f>D100/D101*1000</f>
        <v>1180.5339032399604</v>
      </c>
      <c r="E105" s="71" t="s">
        <v>173</v>
      </c>
      <c r="F105" s="7"/>
      <c r="G105" s="8"/>
    </row>
    <row r="106" spans="1:7" x14ac:dyDescent="0.25">
      <c r="A106" s="36"/>
      <c r="B106" s="34" t="s">
        <v>148</v>
      </c>
      <c r="C106" s="70"/>
      <c r="D106" s="47"/>
      <c r="E106" s="8"/>
      <c r="F106" s="7"/>
      <c r="G106" s="8"/>
    </row>
    <row r="107" spans="1:7" ht="31.5" x14ac:dyDescent="0.25">
      <c r="A107" s="14">
        <v>8</v>
      </c>
      <c r="B107" s="34" t="s">
        <v>149</v>
      </c>
      <c r="C107" s="70" t="s">
        <v>150</v>
      </c>
      <c r="D107" s="48">
        <f>D109+D110</f>
        <v>812</v>
      </c>
      <c r="E107" s="84">
        <v>674</v>
      </c>
      <c r="F107" s="7">
        <f>E107/D107*100-100</f>
        <v>-16.995073891625609</v>
      </c>
      <c r="G107" s="92" t="s">
        <v>196</v>
      </c>
    </row>
    <row r="108" spans="1:7" x14ac:dyDescent="0.25">
      <c r="A108" s="36"/>
      <c r="B108" s="18" t="s">
        <v>8</v>
      </c>
      <c r="C108" s="70"/>
      <c r="D108" s="48"/>
      <c r="E108" s="72"/>
      <c r="F108" s="7"/>
      <c r="G108" s="103"/>
    </row>
    <row r="109" spans="1:7" x14ac:dyDescent="0.25">
      <c r="A109" s="14" t="s">
        <v>151</v>
      </c>
      <c r="B109" s="34" t="s">
        <v>152</v>
      </c>
      <c r="C109" s="62" t="s">
        <v>12</v>
      </c>
      <c r="D109" s="48">
        <v>758</v>
      </c>
      <c r="E109" s="72">
        <v>632</v>
      </c>
      <c r="F109" s="7">
        <f>E109/D109*100-100</f>
        <v>-16.622691292875984</v>
      </c>
      <c r="G109" s="103"/>
    </row>
    <row r="110" spans="1:7" x14ac:dyDescent="0.25">
      <c r="A110" s="14" t="s">
        <v>153</v>
      </c>
      <c r="B110" s="34" t="s">
        <v>154</v>
      </c>
      <c r="C110" s="62" t="s">
        <v>12</v>
      </c>
      <c r="D110" s="48">
        <v>54</v>
      </c>
      <c r="E110" s="72">
        <v>42</v>
      </c>
      <c r="F110" s="7">
        <f>E110/D110*100-100</f>
        <v>-22.222222222222214</v>
      </c>
      <c r="G110" s="93"/>
    </row>
    <row r="111" spans="1:7" ht="31.5" x14ac:dyDescent="0.25">
      <c r="A111" s="14">
        <v>9</v>
      </c>
      <c r="B111" s="34" t="s">
        <v>155</v>
      </c>
      <c r="C111" s="70" t="s">
        <v>156</v>
      </c>
      <c r="D111" s="49">
        <v>157083</v>
      </c>
      <c r="E111" s="49">
        <f>(E15+E72)/12/E107*1000</f>
        <v>186893.68199802176</v>
      </c>
      <c r="F111" s="7">
        <f>E111/D111*100-100</f>
        <v>18.977662763011764</v>
      </c>
      <c r="G111" s="100" t="s">
        <v>197</v>
      </c>
    </row>
    <row r="112" spans="1:7" x14ac:dyDescent="0.25">
      <c r="A112" s="9"/>
      <c r="B112" s="18" t="s">
        <v>8</v>
      </c>
      <c r="C112" s="19"/>
      <c r="D112" s="48"/>
      <c r="E112" s="49"/>
      <c r="F112" s="7"/>
      <c r="G112" s="105"/>
    </row>
    <row r="113" spans="1:7" x14ac:dyDescent="0.25">
      <c r="A113" s="14" t="s">
        <v>157</v>
      </c>
      <c r="B113" s="34" t="s">
        <v>158</v>
      </c>
      <c r="C113" s="62" t="s">
        <v>12</v>
      </c>
      <c r="D113" s="49">
        <v>153273</v>
      </c>
      <c r="E113" s="49">
        <f>E15/12/E109*1000</f>
        <v>180918.23575949366</v>
      </c>
      <c r="F113" s="7">
        <f>E113/D113*100-100</f>
        <v>18.036598591724356</v>
      </c>
      <c r="G113" s="105"/>
    </row>
    <row r="114" spans="1:7" x14ac:dyDescent="0.25">
      <c r="A114" s="14" t="s">
        <v>159</v>
      </c>
      <c r="B114" s="34" t="s">
        <v>160</v>
      </c>
      <c r="C114" s="62" t="s">
        <v>12</v>
      </c>
      <c r="D114" s="49">
        <v>210556</v>
      </c>
      <c r="E114" s="49">
        <f>E72/12/E110*1000</f>
        <v>276809.92063492065</v>
      </c>
      <c r="F114" s="7">
        <f>E114/D114*100-100</f>
        <v>31.466175570831808</v>
      </c>
      <c r="G114" s="101"/>
    </row>
    <row r="115" spans="1:7" x14ac:dyDescent="0.25">
      <c r="A115" s="50"/>
      <c r="B115" s="51"/>
      <c r="C115" s="73"/>
      <c r="D115" s="52"/>
      <c r="E115" s="53"/>
      <c r="F115" s="53"/>
      <c r="G115" s="53"/>
    </row>
    <row r="116" spans="1:7" ht="16.5" x14ac:dyDescent="0.25">
      <c r="A116" s="74" t="s">
        <v>174</v>
      </c>
      <c r="B116" s="2"/>
      <c r="C116" s="2"/>
    </row>
    <row r="117" spans="1:7" ht="16.5" x14ac:dyDescent="0.25">
      <c r="A117" s="74" t="s">
        <v>175</v>
      </c>
      <c r="B117" s="2"/>
      <c r="C117" s="2"/>
    </row>
    <row r="118" spans="1:7" ht="16.5" x14ac:dyDescent="0.25">
      <c r="A118" s="74" t="s">
        <v>176</v>
      </c>
      <c r="B118" s="2"/>
      <c r="C118" s="2"/>
    </row>
    <row r="119" spans="1:7" ht="16.5" x14ac:dyDescent="0.25">
      <c r="A119" s="74" t="s">
        <v>177</v>
      </c>
      <c r="B119" s="2"/>
      <c r="C119" s="2"/>
    </row>
    <row r="120" spans="1:7" s="54" customFormat="1" ht="16.5" x14ac:dyDescent="0.25">
      <c r="A120" s="74" t="s">
        <v>178</v>
      </c>
      <c r="B120" s="2"/>
      <c r="C120" s="2"/>
      <c r="D120" s="2"/>
      <c r="F120" s="55"/>
    </row>
    <row r="121" spans="1:7" s="54" customFormat="1" x14ac:dyDescent="0.25">
      <c r="A121" s="75"/>
      <c r="B121" s="2"/>
      <c r="C121" s="2"/>
      <c r="D121" s="2"/>
      <c r="F121" s="55"/>
    </row>
    <row r="122" spans="1:7" s="79" customFormat="1" ht="18.75" x14ac:dyDescent="0.3">
      <c r="A122" s="76"/>
      <c r="B122" s="77"/>
      <c r="C122" s="78"/>
      <c r="D122" s="78"/>
      <c r="F122" s="78"/>
    </row>
    <row r="123" spans="1:7" s="54" customFormat="1" x14ac:dyDescent="0.25">
      <c r="A123" s="75"/>
      <c r="B123" s="2"/>
      <c r="C123" s="2"/>
      <c r="D123" s="2"/>
      <c r="F123" s="55"/>
    </row>
    <row r="124" spans="1:7" s="54" customFormat="1" x14ac:dyDescent="0.25">
      <c r="A124" s="56"/>
      <c r="F124" s="55"/>
    </row>
    <row r="130" spans="1:6" s="54" customFormat="1" x14ac:dyDescent="0.25">
      <c r="A130" s="56"/>
      <c r="F130" s="55"/>
    </row>
    <row r="131" spans="1:6" x14ac:dyDescent="0.25">
      <c r="A131" s="57"/>
    </row>
  </sheetData>
  <mergeCells count="16">
    <mergeCell ref="B2:G2"/>
    <mergeCell ref="G107:G110"/>
    <mergeCell ref="I53:K53"/>
    <mergeCell ref="G111:G114"/>
    <mergeCell ref="G4:G5"/>
    <mergeCell ref="A102:A104"/>
    <mergeCell ref="B102:B104"/>
    <mergeCell ref="F4:F5"/>
    <mergeCell ref="G15:G16"/>
    <mergeCell ref="A4:A5"/>
    <mergeCell ref="B4:B5"/>
    <mergeCell ref="C4:C5"/>
    <mergeCell ref="D4:D5"/>
    <mergeCell ref="E4:E5"/>
    <mergeCell ref="G102:G104"/>
    <mergeCell ref="G72:G73"/>
  </mergeCells>
  <pageMargins left="0.74803149606299213" right="0.15748031496062992" top="0.6692913385826772" bottom="0.15748031496062992" header="0.6692913385826772" footer="0.15748031496062992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тарифсмета (2)</vt:lpstr>
      <vt:lpstr>'тарифсмета (2)'!_GoBack</vt:lpstr>
      <vt:lpstr>'тарифсмета (2)'!Заголовки_для_печати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Шолпан</dc:creator>
  <cp:lastModifiedBy>Шолпан</cp:lastModifiedBy>
  <cp:lastPrinted>2019-01-31T10:37:16Z</cp:lastPrinted>
  <dcterms:created xsi:type="dcterms:W3CDTF">2019-01-29T05:10:57Z</dcterms:created>
  <dcterms:modified xsi:type="dcterms:W3CDTF">2019-02-01T10:51:20Z</dcterms:modified>
</cp:coreProperties>
</file>