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8795" windowHeight="10995"/>
  </bookViews>
  <sheets>
    <sheet name="испол ТС для сайта" sheetId="1" r:id="rId1"/>
  </sheets>
  <externalReferences>
    <externalReference r:id="rId2"/>
  </externalReferences>
  <definedNames>
    <definedName name="_GoBack" localSheetId="0">'испол ТС для сайта'!$C$5</definedName>
  </definedNames>
  <calcPr calcId="125725"/>
</workbook>
</file>

<file path=xl/calcChain.xml><?xml version="1.0" encoding="utf-8"?>
<calcChain xmlns="http://schemas.openxmlformats.org/spreadsheetml/2006/main">
  <c r="E81" i="1"/>
  <c r="E106"/>
  <c r="F109" l="1"/>
  <c r="F108"/>
  <c r="F106"/>
  <c r="E112"/>
  <c r="F112" s="1"/>
  <c r="E113"/>
  <c r="F113" s="1"/>
  <c r="D9"/>
  <c r="E11"/>
  <c r="E9" s="1"/>
  <c r="F12"/>
  <c r="E13"/>
  <c r="F13"/>
  <c r="D14"/>
  <c r="F16"/>
  <c r="E17"/>
  <c r="E14" s="1"/>
  <c r="F14" s="1"/>
  <c r="F17"/>
  <c r="F18"/>
  <c r="E19"/>
  <c r="F19" s="1"/>
  <c r="F21"/>
  <c r="D22"/>
  <c r="F24"/>
  <c r="F25"/>
  <c r="D27"/>
  <c r="E27"/>
  <c r="E28"/>
  <c r="F28" s="1"/>
  <c r="F29"/>
  <c r="F30"/>
  <c r="E31"/>
  <c r="F31" s="1"/>
  <c r="E32"/>
  <c r="F32" s="1"/>
  <c r="D34"/>
  <c r="E34"/>
  <c r="E33" s="1"/>
  <c r="F33" s="1"/>
  <c r="F34"/>
  <c r="D35"/>
  <c r="F35"/>
  <c r="D36"/>
  <c r="F36"/>
  <c r="F37"/>
  <c r="F38"/>
  <c r="F39"/>
  <c r="E40"/>
  <c r="F40" s="1"/>
  <c r="F41"/>
  <c r="F42"/>
  <c r="F44"/>
  <c r="E45"/>
  <c r="E43" s="1"/>
  <c r="F43" s="1"/>
  <c r="F45"/>
  <c r="F46"/>
  <c r="E47"/>
  <c r="F47" s="1"/>
  <c r="F48"/>
  <c r="F49"/>
  <c r="F50"/>
  <c r="D51"/>
  <c r="F54"/>
  <c r="F55"/>
  <c r="F56"/>
  <c r="E57"/>
  <c r="F57"/>
  <c r="D58"/>
  <c r="F58" s="1"/>
  <c r="D59"/>
  <c r="E59"/>
  <c r="F59"/>
  <c r="D60"/>
  <c r="E60"/>
  <c r="D61"/>
  <c r="F61" s="1"/>
  <c r="F62"/>
  <c r="F63"/>
  <c r="E64"/>
  <c r="F64" s="1"/>
  <c r="F65"/>
  <c r="F66"/>
  <c r="E67"/>
  <c r="D71"/>
  <c r="E73"/>
  <c r="F73" s="1"/>
  <c r="E74"/>
  <c r="F74" s="1"/>
  <c r="F75"/>
  <c r="E76"/>
  <c r="F76" s="1"/>
  <c r="E77"/>
  <c r="F77"/>
  <c r="E78"/>
  <c r="F78"/>
  <c r="E79"/>
  <c r="F79"/>
  <c r="E80"/>
  <c r="F80"/>
  <c r="F81"/>
  <c r="F82"/>
  <c r="D83"/>
  <c r="F85"/>
  <c r="E86"/>
  <c r="F87"/>
  <c r="F88"/>
  <c r="F89"/>
  <c r="F90"/>
  <c r="F91"/>
  <c r="F92"/>
  <c r="F93"/>
  <c r="E94"/>
  <c r="F94" s="1"/>
  <c r="F95"/>
  <c r="F96"/>
  <c r="E99"/>
  <c r="F99" s="1"/>
  <c r="F100"/>
  <c r="F102"/>
  <c r="E103"/>
  <c r="F103"/>
  <c r="F60" l="1"/>
  <c r="E83"/>
  <c r="F83" s="1"/>
  <c r="D69"/>
  <c r="D68" s="1"/>
  <c r="E53"/>
  <c r="E26"/>
  <c r="F26" s="1"/>
  <c r="F11"/>
  <c r="D7"/>
  <c r="D97" s="1"/>
  <c r="E110"/>
  <c r="F110" s="1"/>
  <c r="E51"/>
  <c r="F51" s="1"/>
  <c r="F53"/>
  <c r="E22"/>
  <c r="F22" s="1"/>
  <c r="F9"/>
  <c r="E71"/>
  <c r="F27"/>
  <c r="F86"/>
  <c r="E7" l="1"/>
  <c r="F7" s="1"/>
  <c r="E69"/>
  <c r="F71"/>
  <c r="E68" l="1"/>
  <c r="F69"/>
  <c r="F68" l="1"/>
  <c r="E97"/>
  <c r="F97" l="1"/>
  <c r="E98"/>
  <c r="F98" s="1"/>
</calcChain>
</file>

<file path=xl/sharedStrings.xml><?xml version="1.0" encoding="utf-8"?>
<sst xmlns="http://schemas.openxmlformats.org/spreadsheetml/2006/main" count="332" uniqueCount="172">
  <si>
    <t>-//-</t>
  </si>
  <si>
    <t>административного персонала</t>
  </si>
  <si>
    <t>9.2</t>
  </si>
  <si>
    <t>производственного персонала</t>
  </si>
  <si>
    <t>9.1</t>
  </si>
  <si>
    <t>в том числе:</t>
  </si>
  <si>
    <t>тенге</t>
  </si>
  <si>
    <t>Среднемесячная заработная плата, всего</t>
  </si>
  <si>
    <t>Административный персонал</t>
  </si>
  <si>
    <t>8.2</t>
  </si>
  <si>
    <t>Производственный персонал</t>
  </si>
  <si>
    <t>8.1</t>
  </si>
  <si>
    <t>чел.</t>
  </si>
  <si>
    <t>Среднесписочная численность персонала,</t>
  </si>
  <si>
    <t>Справочно:</t>
  </si>
  <si>
    <t>тенге/Гкал</t>
  </si>
  <si>
    <t>Тариф</t>
  </si>
  <si>
    <t>VIII</t>
  </si>
  <si>
    <t>тыс. тенге</t>
  </si>
  <si>
    <t>Гкал</t>
  </si>
  <si>
    <t xml:space="preserve">% </t>
  </si>
  <si>
    <t>Нормативные технические потери</t>
  </si>
  <si>
    <t>VII</t>
  </si>
  <si>
    <t>Объем оказываемых услуг</t>
  </si>
  <si>
    <t>VI</t>
  </si>
  <si>
    <t>Всего доходов</t>
  </si>
  <si>
    <t>V</t>
  </si>
  <si>
    <t>Прибыль</t>
  </si>
  <si>
    <t>IV</t>
  </si>
  <si>
    <t>Всего затрат</t>
  </si>
  <si>
    <t>III</t>
  </si>
  <si>
    <t>Нотариальные услуги</t>
  </si>
  <si>
    <t>7.10.12</t>
  </si>
  <si>
    <t>Услуги почты</t>
  </si>
  <si>
    <t>7.10.11</t>
  </si>
  <si>
    <t>Содержание служебного автотранспорта</t>
  </si>
  <si>
    <t>7.10.10</t>
  </si>
  <si>
    <t>Хозяйственные товары</t>
  </si>
  <si>
    <t>7.10.9</t>
  </si>
  <si>
    <t>Обязательное страхование</t>
  </si>
  <si>
    <t>7.10.8</t>
  </si>
  <si>
    <t>Услуги типографии</t>
  </si>
  <si>
    <t>7.10.7</t>
  </si>
  <si>
    <t>Подготовка кадров</t>
  </si>
  <si>
    <t>7.10.6</t>
  </si>
  <si>
    <t>Периодическая печать</t>
  </si>
  <si>
    <t>7.10.5</t>
  </si>
  <si>
    <t>Канцелярские товары</t>
  </si>
  <si>
    <t>7.10.4</t>
  </si>
  <si>
    <t>Проездные билеты</t>
  </si>
  <si>
    <t>7.10.3</t>
  </si>
  <si>
    <t>Содержание оргтехники, обслуживание лицензионных программ</t>
  </si>
  <si>
    <t>7.10.2</t>
  </si>
  <si>
    <t>Охрана объектов</t>
  </si>
  <si>
    <t>7.10.1</t>
  </si>
  <si>
    <t>Прочие расходы всего,</t>
  </si>
  <si>
    <t>7.10</t>
  </si>
  <si>
    <t>Услуги банка</t>
  </si>
  <si>
    <t>7.9</t>
  </si>
  <si>
    <t>Информационные, консультационные, аудиторские услуги</t>
  </si>
  <si>
    <t>7.8</t>
  </si>
  <si>
    <t>Услуги связи</t>
  </si>
  <si>
    <t>7.7</t>
  </si>
  <si>
    <t>Командировочные расходы</t>
  </si>
  <si>
    <t>7.6</t>
  </si>
  <si>
    <t>Коммунальные расходы</t>
  </si>
  <si>
    <t>7.5</t>
  </si>
  <si>
    <t>Материалы</t>
  </si>
  <si>
    <t>7.4</t>
  </si>
  <si>
    <t>Налоговые платежи и сборы</t>
  </si>
  <si>
    <t>7.3</t>
  </si>
  <si>
    <t>Амортизация</t>
  </si>
  <si>
    <t>7.2</t>
  </si>
  <si>
    <t>Социальный налог и социальные отчисления</t>
  </si>
  <si>
    <t>7.1.2</t>
  </si>
  <si>
    <t>Заработная плата административного персонала</t>
  </si>
  <si>
    <t>7.1.1</t>
  </si>
  <si>
    <t>Расходы на оплату труда всего,</t>
  </si>
  <si>
    <t>7.1</t>
  </si>
  <si>
    <t>Общие и административные расходы всего,</t>
  </si>
  <si>
    <t>Расходы периода, всего</t>
  </si>
  <si>
    <t>II</t>
  </si>
  <si>
    <t>Техническое обследование объекта, составление проекта землеустройства</t>
  </si>
  <si>
    <t>6.7</t>
  </si>
  <si>
    <t>Бланочная продукция</t>
  </si>
  <si>
    <t>6.6</t>
  </si>
  <si>
    <t>6.5</t>
  </si>
  <si>
    <t>6.4</t>
  </si>
  <si>
    <t>6.3</t>
  </si>
  <si>
    <t>6.2</t>
  </si>
  <si>
    <t>промышленная безопасность</t>
  </si>
  <si>
    <t>противопожарная безопасность</t>
  </si>
  <si>
    <t>аттестация рабочих мест</t>
  </si>
  <si>
    <t>спецпитание</t>
  </si>
  <si>
    <t>медосмотр</t>
  </si>
  <si>
    <t>медикаменты</t>
  </si>
  <si>
    <t>потребность хозмыла, порошок</t>
  </si>
  <si>
    <t>спец одежда и СИЗ</t>
  </si>
  <si>
    <t>Безопастность  и  охрана труда</t>
  </si>
  <si>
    <t>6.1</t>
  </si>
  <si>
    <t>Прочие затраты всего,</t>
  </si>
  <si>
    <t>Услуги по выдаче экспертного заключения о техническом состоянии основного и вспомогательного оборудования</t>
  </si>
  <si>
    <t>5.18</t>
  </si>
  <si>
    <t>Гидрометеорологические услуги</t>
  </si>
  <si>
    <t>5.17</t>
  </si>
  <si>
    <t>Захоронение твердо-бытовых, строительных и производственных отходов</t>
  </si>
  <si>
    <t>5.16</t>
  </si>
  <si>
    <t>Техобслуживание транспортных средств</t>
  </si>
  <si>
    <t>5.15</t>
  </si>
  <si>
    <t>ремонт и техническое освидетельствование кислородных и пропановых баллонов</t>
  </si>
  <si>
    <t>электрооборудования</t>
  </si>
  <si>
    <t>теплотехнического (дефектоскоп)</t>
  </si>
  <si>
    <t xml:space="preserve">Ремонт теплотехнического, электрооборудования и кислородных баллонов  </t>
  </si>
  <si>
    <t>5.14</t>
  </si>
  <si>
    <t>Демеркуризация ртутьсодержащих отходов</t>
  </si>
  <si>
    <t>5.13</t>
  </si>
  <si>
    <t>Расходы по энергоаудиту, энергоменеджменту</t>
  </si>
  <si>
    <t>5.12</t>
  </si>
  <si>
    <t>Расходы по экологии</t>
  </si>
  <si>
    <t>5.11</t>
  </si>
  <si>
    <t>Ультразвуковой контроль сварных соединений,  теплоизоляционные работы</t>
  </si>
  <si>
    <t>5.10</t>
  </si>
  <si>
    <t>Информационное обслуживание</t>
  </si>
  <si>
    <t>5.9</t>
  </si>
  <si>
    <t>Очистка и колибровка резервуаров</t>
  </si>
  <si>
    <t>Ремонт и обслуживание аппаратуры связи</t>
  </si>
  <si>
    <t>Обслуживание, ремонт кондиционеров</t>
  </si>
  <si>
    <t>Обслуживание, ремонт оргтехники</t>
  </si>
  <si>
    <t>Обслуживание, ремонт основных средств</t>
  </si>
  <si>
    <t>5.8</t>
  </si>
  <si>
    <t>5.7</t>
  </si>
  <si>
    <t>Восстановление благоустройства (замена асфальта, брусчатки, газона)</t>
  </si>
  <si>
    <t>5.6</t>
  </si>
  <si>
    <t>Топогеодезические работы</t>
  </si>
  <si>
    <t>5.5</t>
  </si>
  <si>
    <t>Испытание тепловых сетей на тепловые потери</t>
  </si>
  <si>
    <t>5.4</t>
  </si>
  <si>
    <t>Поверка средств измерений, защитных средств, допуск бригады</t>
  </si>
  <si>
    <t>5.3</t>
  </si>
  <si>
    <t>Услуги водоснабжения и канализации</t>
  </si>
  <si>
    <t>5.2</t>
  </si>
  <si>
    <t>Услуги автотранспорта и механизмов</t>
  </si>
  <si>
    <t>5.1</t>
  </si>
  <si>
    <t xml:space="preserve">Услуги производственного характера, всего </t>
  </si>
  <si>
    <t>Капитальный ремонт, не приводящий к увеличению стоимости основных фондов</t>
  </si>
  <si>
    <t>4.1</t>
  </si>
  <si>
    <t>Ремонт, всего</t>
  </si>
  <si>
    <t>2.2</t>
  </si>
  <si>
    <t>Заработная плата производственного персонала</t>
  </si>
  <si>
    <t>2.1</t>
  </si>
  <si>
    <r>
      <t>-</t>
    </r>
    <r>
      <rPr>
        <sz val="11"/>
        <color theme="1"/>
        <rFont val="Times New Roman"/>
        <family val="1"/>
        <charset val="204"/>
      </rPr>
      <t>//-</t>
    </r>
  </si>
  <si>
    <t>Энергия</t>
  </si>
  <si>
    <t>1.3</t>
  </si>
  <si>
    <t>ГСМ</t>
  </si>
  <si>
    <t>1.2</t>
  </si>
  <si>
    <t>Сырье и материалы</t>
  </si>
  <si>
    <t>1.1</t>
  </si>
  <si>
    <t>Материальные затраты всего,</t>
  </si>
  <si>
    <t>Затраты на производство товаров и предоставление услуг, всего</t>
  </si>
  <si>
    <t>I</t>
  </si>
  <si>
    <t>Ед. изм</t>
  </si>
  <si>
    <t>Наименование показателей</t>
  </si>
  <si>
    <t>№ п/п</t>
  </si>
  <si>
    <t>Период реализации действующей тарифной сметы не закончен (01.01.2016-31.12.2016гг.)</t>
  </si>
  <si>
    <r>
      <t xml:space="preserve">поверка приборов </t>
    </r>
    <r>
      <rPr>
        <b/>
        <sz val="11"/>
        <rFont val="Times New Roman"/>
        <family val="1"/>
        <charset val="204"/>
      </rPr>
      <t xml:space="preserve">КИПиА, химлаборатория, ПС </t>
    </r>
    <r>
      <rPr>
        <sz val="11"/>
        <rFont val="Times New Roman"/>
        <family val="1"/>
        <charset val="204"/>
      </rPr>
      <t xml:space="preserve">(геодез.приборов), </t>
    </r>
    <r>
      <rPr>
        <b/>
        <sz val="11"/>
        <rFont val="Times New Roman"/>
        <family val="1"/>
        <charset val="204"/>
      </rPr>
      <t>ПРС</t>
    </r>
    <r>
      <rPr>
        <sz val="11"/>
        <rFont val="Times New Roman"/>
        <family val="1"/>
        <charset val="204"/>
      </rPr>
      <t xml:space="preserve"> (дефектоскоп)</t>
    </r>
  </si>
  <si>
    <r>
      <t xml:space="preserve">поверка изм.приборов, защитных средств, допуск бригады </t>
    </r>
    <r>
      <rPr>
        <b/>
        <sz val="11"/>
        <rFont val="Times New Roman"/>
        <family val="1"/>
        <charset val="204"/>
      </rPr>
      <t>Энергослужба</t>
    </r>
  </si>
  <si>
    <t>Причины отклонения</t>
  </si>
  <si>
    <t>Факт I полугодие 2016г.</t>
  </si>
  <si>
    <t>Откло-нение, %</t>
  </si>
  <si>
    <t>Отклонение в связи с незаконченным периодом реализации тарифной сметы (01.01.2016-31.12.2016гг.)</t>
  </si>
  <si>
    <t>Утвержденная тарифная смета (01.01.2016г.-31.12.2016г.)</t>
  </si>
  <si>
    <t>Информация о ходе исполнения утвержденной тарифной сметы за первое полугодие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</si>
</sst>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5;&#1080;&#1081;%20&#1089;&#1090;&#1086;&#1083;\&#1055;&#1056;&#1045;&#1044;&#1045;&#1051;&#1068;&#1053;&#1067;&#1049;%20&#1058;&#1040;&#1056;&#1048;&#1060;%202016-2020\&#1087;&#1088;&#1086;&#1095;&#1080;&#1077;%20&#1088;&#1072;&#1089;&#1093;&#1086;&#1076;&#1099;%20&#1087;&#1088;&#1086;&#1080;&#1079;&#1074;.&#1093;&#1072;&#1088;&#1072;&#1082;&#1090;&#1077;&#1088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опас и охрана труда"/>
      <sheetName val="спецодежда"/>
      <sheetName val="мыло порошок"/>
      <sheetName val="Медикаменты"/>
      <sheetName val="медосмотр"/>
      <sheetName val="спецпитание"/>
      <sheetName val="аттестация рабочих мест"/>
      <sheetName val="услуги противпожар безопас"/>
      <sheetName val="промбезопасность"/>
      <sheetName val="кадры команд"/>
      <sheetName val="Канцтовары"/>
      <sheetName val="Бланочная продукция"/>
    </sheetNames>
    <sheetDataSet>
      <sheetData sheetId="0"/>
      <sheetData sheetId="1">
        <row r="31">
          <cell r="G31">
            <v>15348.706286400005</v>
          </cell>
        </row>
      </sheetData>
      <sheetData sheetId="2">
        <row r="8">
          <cell r="G8">
            <v>544.55328000000009</v>
          </cell>
        </row>
      </sheetData>
      <sheetData sheetId="3">
        <row r="37">
          <cell r="G37">
            <v>171.79776000000001</v>
          </cell>
        </row>
      </sheetData>
      <sheetData sheetId="4">
        <row r="7">
          <cell r="G7">
            <v>1304.1000000000001</v>
          </cell>
        </row>
      </sheetData>
      <sheetData sheetId="5">
        <row r="7">
          <cell r="G7">
            <v>1581.1200000000001</v>
          </cell>
        </row>
      </sheetData>
      <sheetData sheetId="6">
        <row r="5">
          <cell r="E5">
            <v>1912</v>
          </cell>
        </row>
      </sheetData>
      <sheetData sheetId="7">
        <row r="10">
          <cell r="F10">
            <v>52.137</v>
          </cell>
        </row>
      </sheetData>
      <sheetData sheetId="8">
        <row r="7">
          <cell r="C7">
            <v>2300</v>
          </cell>
        </row>
      </sheetData>
      <sheetData sheetId="9">
        <row r="45">
          <cell r="L45">
            <v>6109392.8320000004</v>
          </cell>
        </row>
      </sheetData>
      <sheetData sheetId="10">
        <row r="73">
          <cell r="G73">
            <v>2689.1232984000017</v>
          </cell>
        </row>
      </sheetData>
      <sheetData sheetId="11">
        <row r="53">
          <cell r="G53">
            <v>2369.492999999999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3"/>
  <sheetViews>
    <sheetView tabSelected="1" topLeftCell="A74" zoomScale="75" zoomScaleNormal="75" workbookViewId="0">
      <selection activeCell="E73" sqref="E73"/>
    </sheetView>
  </sheetViews>
  <sheetFormatPr defaultRowHeight="15"/>
  <cols>
    <col min="1" max="1" width="8.5703125" style="3" customWidth="1"/>
    <col min="2" max="2" width="34.28515625" style="1" customWidth="1"/>
    <col min="3" max="3" width="7.5703125" style="1" customWidth="1"/>
    <col min="4" max="4" width="13" style="1" customWidth="1"/>
    <col min="5" max="5" width="10.7109375" style="1" customWidth="1"/>
    <col min="6" max="6" width="8.5703125" style="2" customWidth="1"/>
    <col min="7" max="7" width="24" style="1" customWidth="1"/>
    <col min="8" max="16384" width="9.140625" style="1"/>
  </cols>
  <sheetData>
    <row r="2" spans="1:7" ht="15.75">
      <c r="A2" s="55" t="s">
        <v>171</v>
      </c>
      <c r="B2" s="55"/>
      <c r="C2" s="55"/>
      <c r="D2" s="55"/>
      <c r="E2" s="55"/>
      <c r="F2" s="55"/>
      <c r="G2" s="55"/>
    </row>
    <row r="3" spans="1:7" ht="15.75">
      <c r="A3" s="15"/>
      <c r="B3" s="15"/>
      <c r="C3" s="15"/>
      <c r="D3" s="15"/>
      <c r="E3" s="15"/>
      <c r="F3" s="15"/>
    </row>
    <row r="4" spans="1:7">
      <c r="F4" s="14"/>
    </row>
    <row r="5" spans="1:7" ht="16.5" customHeight="1">
      <c r="A5" s="56" t="s">
        <v>162</v>
      </c>
      <c r="B5" s="54" t="s">
        <v>161</v>
      </c>
      <c r="C5" s="54" t="s">
        <v>160</v>
      </c>
      <c r="D5" s="54" t="s">
        <v>170</v>
      </c>
      <c r="E5" s="54" t="s">
        <v>167</v>
      </c>
      <c r="F5" s="54" t="s">
        <v>168</v>
      </c>
      <c r="G5" s="54" t="s">
        <v>166</v>
      </c>
    </row>
    <row r="6" spans="1:7" ht="57.75" customHeight="1">
      <c r="A6" s="56"/>
      <c r="B6" s="54"/>
      <c r="C6" s="54"/>
      <c r="D6" s="54"/>
      <c r="E6" s="54"/>
      <c r="F6" s="54"/>
      <c r="G6" s="54"/>
    </row>
    <row r="7" spans="1:7" ht="42.75">
      <c r="A7" s="18" t="s">
        <v>159</v>
      </c>
      <c r="B7" s="19" t="s">
        <v>158</v>
      </c>
      <c r="C7" s="20" t="s">
        <v>18</v>
      </c>
      <c r="D7" s="21">
        <f>D9+D14+D18+D19+D22+D51</f>
        <v>3361236</v>
      </c>
      <c r="E7" s="21">
        <f>E9+E14+E18+E19+E22+E51</f>
        <v>1575478.8236000002</v>
      </c>
      <c r="F7" s="9">
        <f>E7/D7*100-100</f>
        <v>-53.127991500745551</v>
      </c>
      <c r="G7" s="8"/>
    </row>
    <row r="8" spans="1:7">
      <c r="A8" s="13"/>
      <c r="B8" s="22" t="s">
        <v>5</v>
      </c>
      <c r="C8" s="5"/>
      <c r="D8" s="20"/>
      <c r="E8" s="20"/>
      <c r="F8" s="9"/>
      <c r="G8" s="8"/>
    </row>
    <row r="9" spans="1:7">
      <c r="A9" s="18">
        <v>1</v>
      </c>
      <c r="B9" s="19" t="s">
        <v>157</v>
      </c>
      <c r="C9" s="23"/>
      <c r="D9" s="24">
        <f>D11+D12+D13</f>
        <v>697443</v>
      </c>
      <c r="E9" s="24">
        <f>E11+E12+E13</f>
        <v>319678.63</v>
      </c>
      <c r="F9" s="9">
        <f>E9/D9*100-100</f>
        <v>-54.164192629361821</v>
      </c>
      <c r="G9" s="8"/>
    </row>
    <row r="10" spans="1:7">
      <c r="A10" s="13"/>
      <c r="B10" s="22" t="s">
        <v>5</v>
      </c>
      <c r="C10" s="5"/>
      <c r="D10" s="12"/>
      <c r="E10" s="12"/>
      <c r="F10" s="9"/>
      <c r="G10" s="8"/>
    </row>
    <row r="11" spans="1:7" ht="48.75">
      <c r="A11" s="25" t="s">
        <v>156</v>
      </c>
      <c r="B11" s="26" t="s">
        <v>155</v>
      </c>
      <c r="C11" s="5" t="s">
        <v>0</v>
      </c>
      <c r="D11" s="27">
        <v>239678</v>
      </c>
      <c r="E11" s="27">
        <f>120111.653+63.5+148.194+219.548</f>
        <v>120542.895</v>
      </c>
      <c r="F11" s="9">
        <f>E11/D11*100-100</f>
        <v>-49.706316391158133</v>
      </c>
      <c r="G11" s="17" t="s">
        <v>169</v>
      </c>
    </row>
    <row r="12" spans="1:7" ht="48.75">
      <c r="A12" s="25" t="s">
        <v>154</v>
      </c>
      <c r="B12" s="26" t="s">
        <v>153</v>
      </c>
      <c r="C12" s="5" t="s">
        <v>0</v>
      </c>
      <c r="D12" s="27">
        <v>75861</v>
      </c>
      <c r="E12" s="27">
        <v>29726.577000000001</v>
      </c>
      <c r="F12" s="9">
        <f>E12/D12*100-100</f>
        <v>-60.814414521295525</v>
      </c>
      <c r="G12" s="17" t="s">
        <v>169</v>
      </c>
    </row>
    <row r="13" spans="1:7" ht="48.75">
      <c r="A13" s="25" t="s">
        <v>152</v>
      </c>
      <c r="B13" s="26" t="s">
        <v>151</v>
      </c>
      <c r="C13" s="23" t="s">
        <v>150</v>
      </c>
      <c r="D13" s="27">
        <v>381904</v>
      </c>
      <c r="E13" s="27">
        <f>169409.158</f>
        <v>169409.158</v>
      </c>
      <c r="F13" s="9">
        <f>E13/D13*100-100</f>
        <v>-55.640905044199592</v>
      </c>
      <c r="G13" s="17" t="s">
        <v>169</v>
      </c>
    </row>
    <row r="14" spans="1:7">
      <c r="A14" s="18">
        <v>2</v>
      </c>
      <c r="B14" s="19" t="s">
        <v>77</v>
      </c>
      <c r="C14" s="5" t="s">
        <v>0</v>
      </c>
      <c r="D14" s="24">
        <f>D16+D17</f>
        <v>1155067</v>
      </c>
      <c r="E14" s="24">
        <f>E16+E17</f>
        <v>554702.00660000008</v>
      </c>
      <c r="F14" s="9">
        <f>E14/D14*100-100</f>
        <v>-51.976638013206156</v>
      </c>
      <c r="G14" s="8"/>
    </row>
    <row r="15" spans="1:7">
      <c r="A15" s="7"/>
      <c r="B15" s="28" t="s">
        <v>5</v>
      </c>
      <c r="C15" s="5"/>
      <c r="D15" s="29"/>
      <c r="E15" s="29"/>
      <c r="F15" s="9"/>
      <c r="G15" s="8"/>
    </row>
    <row r="16" spans="1:7" ht="48.75">
      <c r="A16" s="25" t="s">
        <v>149</v>
      </c>
      <c r="B16" s="26" t="s">
        <v>148</v>
      </c>
      <c r="C16" s="5" t="s">
        <v>0</v>
      </c>
      <c r="D16" s="27">
        <v>1051016</v>
      </c>
      <c r="E16" s="27">
        <v>504733.4</v>
      </c>
      <c r="F16" s="9">
        <f>E16/D16*100-100</f>
        <v>-51.976620717477182</v>
      </c>
      <c r="G16" s="17" t="s">
        <v>169</v>
      </c>
    </row>
    <row r="17" spans="1:7" ht="48.75">
      <c r="A17" s="25" t="s">
        <v>147</v>
      </c>
      <c r="B17" s="26" t="s">
        <v>73</v>
      </c>
      <c r="C17" s="5" t="s">
        <v>0</v>
      </c>
      <c r="D17" s="27">
        <v>104051</v>
      </c>
      <c r="E17" s="27">
        <f>E16*0.099</f>
        <v>49968.606600000006</v>
      </c>
      <c r="F17" s="9">
        <f>E17/D17*100-100</f>
        <v>-51.976812716840776</v>
      </c>
      <c r="G17" s="17" t="s">
        <v>169</v>
      </c>
    </row>
    <row r="18" spans="1:7">
      <c r="A18" s="18">
        <v>3</v>
      </c>
      <c r="B18" s="19" t="s">
        <v>71</v>
      </c>
      <c r="C18" s="12" t="s">
        <v>0</v>
      </c>
      <c r="D18" s="30">
        <v>1194573</v>
      </c>
      <c r="E18" s="30">
        <v>553293.75600000005</v>
      </c>
      <c r="F18" s="9">
        <f>E18/D18*100-100</f>
        <v>-53.682717088030614</v>
      </c>
      <c r="G18" s="8"/>
    </row>
    <row r="19" spans="1:7">
      <c r="A19" s="31">
        <v>4</v>
      </c>
      <c r="B19" s="32" t="s">
        <v>146</v>
      </c>
      <c r="C19" s="5" t="s">
        <v>0</v>
      </c>
      <c r="D19" s="30">
        <v>197000</v>
      </c>
      <c r="E19" s="30">
        <f>E21</f>
        <v>106128.00900000001</v>
      </c>
      <c r="F19" s="9">
        <f>E19/D19*100-100</f>
        <v>-46.127914213197961</v>
      </c>
      <c r="G19" s="8"/>
    </row>
    <row r="20" spans="1:7">
      <c r="A20" s="7"/>
      <c r="B20" s="28" t="s">
        <v>5</v>
      </c>
      <c r="C20" s="5"/>
      <c r="D20" s="29"/>
      <c r="E20" s="29"/>
      <c r="F20" s="9"/>
      <c r="G20" s="8"/>
    </row>
    <row r="21" spans="1:7" ht="48.75">
      <c r="A21" s="25" t="s">
        <v>145</v>
      </c>
      <c r="B21" s="26" t="s">
        <v>144</v>
      </c>
      <c r="C21" s="5" t="s">
        <v>0</v>
      </c>
      <c r="D21" s="24">
        <v>197000</v>
      </c>
      <c r="E21" s="24">
        <v>106128.00900000001</v>
      </c>
      <c r="F21" s="9">
        <f>E21/D21*100-100</f>
        <v>-46.127914213197961</v>
      </c>
      <c r="G21" s="17" t="s">
        <v>169</v>
      </c>
    </row>
    <row r="22" spans="1:7" ht="28.5">
      <c r="A22" s="18">
        <v>5</v>
      </c>
      <c r="B22" s="19" t="s">
        <v>143</v>
      </c>
      <c r="C22" s="5" t="s">
        <v>0</v>
      </c>
      <c r="D22" s="24">
        <f>D24+D25+D26+D29+D30+D31+D32+D33+D38+D39+D40+D41+D42+D43+D47+D48+D49+D50</f>
        <v>73175</v>
      </c>
      <c r="E22" s="24">
        <f>E24+E25+E26+E29+E30+E31+E32+E33+E38+E39+E40+E41+E42+E43+E47+E48+E49+E50</f>
        <v>22998.087999999996</v>
      </c>
      <c r="F22" s="9">
        <f>E22/D22*100-100</f>
        <v>-68.571113085070039</v>
      </c>
      <c r="G22" s="8"/>
    </row>
    <row r="23" spans="1:7">
      <c r="A23" s="7"/>
      <c r="B23" s="28" t="s">
        <v>5</v>
      </c>
      <c r="C23" s="5"/>
      <c r="D23" s="33"/>
      <c r="E23" s="33"/>
      <c r="F23" s="9"/>
      <c r="G23" s="8"/>
    </row>
    <row r="24" spans="1:7" ht="48.75">
      <c r="A24" s="25" t="s">
        <v>142</v>
      </c>
      <c r="B24" s="6" t="s">
        <v>141</v>
      </c>
      <c r="C24" s="5" t="s">
        <v>0</v>
      </c>
      <c r="D24" s="27">
        <v>6960</v>
      </c>
      <c r="E24" s="27">
        <v>0</v>
      </c>
      <c r="F24" s="9">
        <f t="shared" ref="F24:F51" si="0">E24/D24*100-100</f>
        <v>-100</v>
      </c>
      <c r="G24" s="17" t="s">
        <v>169</v>
      </c>
    </row>
    <row r="25" spans="1:7" ht="48.75">
      <c r="A25" s="25" t="s">
        <v>140</v>
      </c>
      <c r="B25" s="6" t="s">
        <v>139</v>
      </c>
      <c r="C25" s="5" t="s">
        <v>0</v>
      </c>
      <c r="D25" s="27">
        <v>22262</v>
      </c>
      <c r="E25" s="27">
        <v>11043.710999999999</v>
      </c>
      <c r="F25" s="9">
        <f t="shared" si="0"/>
        <v>-50.39209864342827</v>
      </c>
      <c r="G25" s="17" t="s">
        <v>169</v>
      </c>
    </row>
    <row r="26" spans="1:7" ht="48.75">
      <c r="A26" s="34" t="s">
        <v>138</v>
      </c>
      <c r="B26" s="6" t="s">
        <v>137</v>
      </c>
      <c r="C26" s="5" t="s">
        <v>0</v>
      </c>
      <c r="D26" s="27">
        <v>3450</v>
      </c>
      <c r="E26" s="27">
        <f>E27+E28</f>
        <v>269.90899999999999</v>
      </c>
      <c r="F26" s="9">
        <f t="shared" si="0"/>
        <v>-92.176550724637679</v>
      </c>
      <c r="G26" s="17" t="s">
        <v>169</v>
      </c>
    </row>
    <row r="27" spans="1:7" ht="59.25" hidden="1">
      <c r="A27" s="34"/>
      <c r="B27" s="35" t="s">
        <v>164</v>
      </c>
      <c r="C27" s="5" t="s">
        <v>0</v>
      </c>
      <c r="D27" s="36">
        <f>2653+98+81+100</f>
        <v>2932</v>
      </c>
      <c r="E27" s="36">
        <f>35.267</f>
        <v>35.267000000000003</v>
      </c>
      <c r="F27" s="9">
        <f t="shared" si="0"/>
        <v>-98.797169167803546</v>
      </c>
      <c r="G27" s="17" t="s">
        <v>169</v>
      </c>
    </row>
    <row r="28" spans="1:7" ht="48.75" hidden="1">
      <c r="A28" s="34"/>
      <c r="B28" s="35" t="s">
        <v>165</v>
      </c>
      <c r="C28" s="5" t="s">
        <v>0</v>
      </c>
      <c r="D28" s="36">
        <v>517.73040000000003</v>
      </c>
      <c r="E28" s="36">
        <f>234.642</f>
        <v>234.642</v>
      </c>
      <c r="F28" s="9">
        <f t="shared" si="0"/>
        <v>-54.678728542886418</v>
      </c>
      <c r="G28" s="17" t="s">
        <v>169</v>
      </c>
    </row>
    <row r="29" spans="1:7" ht="48.75">
      <c r="A29" s="25" t="s">
        <v>136</v>
      </c>
      <c r="B29" s="6" t="s">
        <v>135</v>
      </c>
      <c r="C29" s="5" t="s">
        <v>0</v>
      </c>
      <c r="D29" s="27">
        <v>3500</v>
      </c>
      <c r="E29" s="27">
        <v>2500</v>
      </c>
      <c r="F29" s="9">
        <f t="shared" si="0"/>
        <v>-28.571428571428569</v>
      </c>
      <c r="G29" s="17" t="s">
        <v>169</v>
      </c>
    </row>
    <row r="30" spans="1:7" ht="48.75">
      <c r="A30" s="34" t="s">
        <v>134</v>
      </c>
      <c r="B30" s="6" t="s">
        <v>133</v>
      </c>
      <c r="C30" s="5" t="s">
        <v>0</v>
      </c>
      <c r="D30" s="5">
        <v>126</v>
      </c>
      <c r="E30" s="5">
        <v>0</v>
      </c>
      <c r="F30" s="9">
        <f t="shared" si="0"/>
        <v>-100</v>
      </c>
      <c r="G30" s="17" t="s">
        <v>169</v>
      </c>
    </row>
    <row r="31" spans="1:7" ht="48.75">
      <c r="A31" s="25" t="s">
        <v>132</v>
      </c>
      <c r="B31" s="6" t="s">
        <v>131</v>
      </c>
      <c r="C31" s="5" t="s">
        <v>0</v>
      </c>
      <c r="D31" s="27">
        <v>13670</v>
      </c>
      <c r="E31" s="27">
        <f>210.234+210.234+659.995+989.993</f>
        <v>2070.4560000000001</v>
      </c>
      <c r="F31" s="9">
        <f t="shared" si="0"/>
        <v>-84.854016093635693</v>
      </c>
      <c r="G31" s="17" t="s">
        <v>169</v>
      </c>
    </row>
    <row r="32" spans="1:7" ht="48.75">
      <c r="A32" s="34" t="s">
        <v>130</v>
      </c>
      <c r="B32" s="6" t="s">
        <v>61</v>
      </c>
      <c r="C32" s="5" t="s">
        <v>0</v>
      </c>
      <c r="D32" s="27">
        <v>5340</v>
      </c>
      <c r="E32" s="27">
        <f>482.66+64.2+132+279.5+4.4+279.4</f>
        <v>1242.1599999999999</v>
      </c>
      <c r="F32" s="9">
        <f t="shared" si="0"/>
        <v>-76.738576779026218</v>
      </c>
      <c r="G32" s="17" t="s">
        <v>169</v>
      </c>
    </row>
    <row r="33" spans="1:7" ht="48.75">
      <c r="A33" s="25" t="s">
        <v>129</v>
      </c>
      <c r="B33" s="6" t="s">
        <v>128</v>
      </c>
      <c r="C33" s="5" t="s">
        <v>0</v>
      </c>
      <c r="D33" s="27">
        <v>4294</v>
      </c>
      <c r="E33" s="27">
        <f>E34+E35+E36+E37</f>
        <v>1710.3</v>
      </c>
      <c r="F33" s="9">
        <f t="shared" si="0"/>
        <v>-60.170004657661856</v>
      </c>
      <c r="G33" s="17" t="s">
        <v>169</v>
      </c>
    </row>
    <row r="34" spans="1:7" ht="48.75" hidden="1">
      <c r="A34" s="25"/>
      <c r="B34" s="35" t="s">
        <v>127</v>
      </c>
      <c r="C34" s="5"/>
      <c r="D34" s="37">
        <f>2871*1.06</f>
        <v>3043.26</v>
      </c>
      <c r="E34" s="37">
        <f>1666.3+44</f>
        <v>1710.3</v>
      </c>
      <c r="F34" s="9">
        <f t="shared" si="0"/>
        <v>-43.800398257132159</v>
      </c>
      <c r="G34" s="17" t="s">
        <v>169</v>
      </c>
    </row>
    <row r="35" spans="1:7" ht="48.75" hidden="1">
      <c r="A35" s="25"/>
      <c r="B35" s="35" t="s">
        <v>126</v>
      </c>
      <c r="C35" s="5"/>
      <c r="D35" s="37">
        <f>513*1.06</f>
        <v>543.78</v>
      </c>
      <c r="E35" s="37"/>
      <c r="F35" s="9">
        <f t="shared" si="0"/>
        <v>-100</v>
      </c>
      <c r="G35" s="17" t="s">
        <v>169</v>
      </c>
    </row>
    <row r="36" spans="1:7" ht="48.75" hidden="1">
      <c r="A36" s="25"/>
      <c r="B36" s="35" t="s">
        <v>125</v>
      </c>
      <c r="C36" s="5"/>
      <c r="D36" s="37">
        <f>667*1.06</f>
        <v>707.02</v>
      </c>
      <c r="E36" s="37"/>
      <c r="F36" s="9">
        <f t="shared" si="0"/>
        <v>-100</v>
      </c>
      <c r="G36" s="17" t="s">
        <v>169</v>
      </c>
    </row>
    <row r="37" spans="1:7" ht="48.75" hidden="1">
      <c r="A37" s="25"/>
      <c r="B37" s="35" t="s">
        <v>124</v>
      </c>
      <c r="C37" s="5"/>
      <c r="D37" s="36"/>
      <c r="E37" s="36"/>
      <c r="F37" s="9" t="e">
        <f t="shared" si="0"/>
        <v>#DIV/0!</v>
      </c>
      <c r="G37" s="17" t="s">
        <v>169</v>
      </c>
    </row>
    <row r="38" spans="1:7" ht="48.75">
      <c r="A38" s="34" t="s">
        <v>123</v>
      </c>
      <c r="B38" s="6" t="s">
        <v>122</v>
      </c>
      <c r="C38" s="5" t="s">
        <v>0</v>
      </c>
      <c r="D38" s="5">
        <v>662</v>
      </c>
      <c r="E38" s="38">
        <v>124.798</v>
      </c>
      <c r="F38" s="9">
        <f t="shared" si="0"/>
        <v>-81.148338368580056</v>
      </c>
      <c r="G38" s="17" t="s">
        <v>169</v>
      </c>
    </row>
    <row r="39" spans="1:7" ht="48.75">
      <c r="A39" s="25" t="s">
        <v>121</v>
      </c>
      <c r="B39" s="6" t="s">
        <v>120</v>
      </c>
      <c r="C39" s="5" t="s">
        <v>0</v>
      </c>
      <c r="D39" s="5">
        <v>756</v>
      </c>
      <c r="E39" s="38">
        <v>176.565</v>
      </c>
      <c r="F39" s="9">
        <f t="shared" si="0"/>
        <v>-76.644841269841265</v>
      </c>
      <c r="G39" s="17" t="s">
        <v>169</v>
      </c>
    </row>
    <row r="40" spans="1:7" ht="48.75">
      <c r="A40" s="34" t="s">
        <v>119</v>
      </c>
      <c r="B40" s="6" t="s">
        <v>118</v>
      </c>
      <c r="C40" s="5" t="s">
        <v>0</v>
      </c>
      <c r="D40" s="5">
        <v>851</v>
      </c>
      <c r="E40" s="38">
        <f>562.136+54.764</f>
        <v>616.9</v>
      </c>
      <c r="F40" s="9">
        <f t="shared" si="0"/>
        <v>-27.508813160987074</v>
      </c>
      <c r="G40" s="17" t="s">
        <v>169</v>
      </c>
    </row>
    <row r="41" spans="1:7" ht="48.75">
      <c r="A41" s="25" t="s">
        <v>117</v>
      </c>
      <c r="B41" s="6" t="s">
        <v>116</v>
      </c>
      <c r="C41" s="5" t="s">
        <v>0</v>
      </c>
      <c r="D41" s="27">
        <v>1200</v>
      </c>
      <c r="E41" s="27">
        <v>1071.4290000000001</v>
      </c>
      <c r="F41" s="9">
        <f t="shared" si="0"/>
        <v>-10.714249999999993</v>
      </c>
      <c r="G41" s="17" t="s">
        <v>169</v>
      </c>
    </row>
    <row r="42" spans="1:7" ht="48.75">
      <c r="A42" s="34" t="s">
        <v>115</v>
      </c>
      <c r="B42" s="6" t="s">
        <v>114</v>
      </c>
      <c r="C42" s="5" t="s">
        <v>0</v>
      </c>
      <c r="D42" s="5">
        <v>42</v>
      </c>
      <c r="E42" s="5">
        <v>0</v>
      </c>
      <c r="F42" s="9">
        <f t="shared" si="0"/>
        <v>-100</v>
      </c>
      <c r="G42" s="17" t="s">
        <v>169</v>
      </c>
    </row>
    <row r="43" spans="1:7" ht="48.75">
      <c r="A43" s="25" t="s">
        <v>113</v>
      </c>
      <c r="B43" s="6" t="s">
        <v>112</v>
      </c>
      <c r="C43" s="5" t="s">
        <v>0</v>
      </c>
      <c r="D43" s="27">
        <v>2651</v>
      </c>
      <c r="E43" s="27">
        <f>E44+E45+E46</f>
        <v>1113.3000000000002</v>
      </c>
      <c r="F43" s="9">
        <f t="shared" si="0"/>
        <v>-58.004526593738206</v>
      </c>
      <c r="G43" s="17" t="s">
        <v>169</v>
      </c>
    </row>
    <row r="44" spans="1:7" ht="48.75">
      <c r="A44" s="25"/>
      <c r="B44" s="35" t="s">
        <v>111</v>
      </c>
      <c r="C44" s="5"/>
      <c r="D44" s="36">
        <v>160</v>
      </c>
      <c r="E44" s="36"/>
      <c r="F44" s="9">
        <f t="shared" si="0"/>
        <v>-100</v>
      </c>
      <c r="G44" s="17" t="s">
        <v>169</v>
      </c>
    </row>
    <row r="45" spans="1:7" ht="48.75">
      <c r="A45" s="25"/>
      <c r="B45" s="35" t="s">
        <v>110</v>
      </c>
      <c r="C45" s="5"/>
      <c r="D45" s="36">
        <v>2267</v>
      </c>
      <c r="E45" s="36">
        <f>195.6+31+473.5+79.2+189+20+70+45.5+9.5</f>
        <v>1113.3000000000002</v>
      </c>
      <c r="F45" s="9">
        <f t="shared" si="0"/>
        <v>-50.89104543449492</v>
      </c>
      <c r="G45" s="17" t="s">
        <v>169</v>
      </c>
    </row>
    <row r="46" spans="1:7" ht="48.75">
      <c r="A46" s="25"/>
      <c r="B46" s="35" t="s">
        <v>109</v>
      </c>
      <c r="C46" s="5"/>
      <c r="D46" s="36">
        <v>224</v>
      </c>
      <c r="E46" s="36"/>
      <c r="F46" s="9">
        <f t="shared" si="0"/>
        <v>-100</v>
      </c>
      <c r="G46" s="17" t="s">
        <v>169</v>
      </c>
    </row>
    <row r="47" spans="1:7" ht="48.75">
      <c r="A47" s="34" t="s">
        <v>108</v>
      </c>
      <c r="B47" s="6" t="s">
        <v>107</v>
      </c>
      <c r="C47" s="5" t="s">
        <v>0</v>
      </c>
      <c r="D47" s="27">
        <v>3870</v>
      </c>
      <c r="E47" s="27">
        <f>212</f>
        <v>212</v>
      </c>
      <c r="F47" s="9">
        <f t="shared" si="0"/>
        <v>-94.521963824289401</v>
      </c>
      <c r="G47" s="17" t="s">
        <v>169</v>
      </c>
    </row>
    <row r="48" spans="1:7" ht="48.75">
      <c r="A48" s="25" t="s">
        <v>106</v>
      </c>
      <c r="B48" s="6" t="s">
        <v>105</v>
      </c>
      <c r="C48" s="5" t="s">
        <v>0</v>
      </c>
      <c r="D48" s="27">
        <v>2300</v>
      </c>
      <c r="E48" s="27">
        <v>495.18099999999998</v>
      </c>
      <c r="F48" s="9">
        <f t="shared" si="0"/>
        <v>-78.470391304347828</v>
      </c>
      <c r="G48" s="17" t="s">
        <v>169</v>
      </c>
    </row>
    <row r="49" spans="1:7" ht="48.75">
      <c r="A49" s="34" t="s">
        <v>104</v>
      </c>
      <c r="B49" s="26" t="s">
        <v>103</v>
      </c>
      <c r="C49" s="5" t="s">
        <v>0</v>
      </c>
      <c r="D49" s="5">
        <v>592</v>
      </c>
      <c r="E49" s="38">
        <v>351.37900000000002</v>
      </c>
      <c r="F49" s="9">
        <f t="shared" si="0"/>
        <v>-40.645439189189183</v>
      </c>
      <c r="G49" s="17" t="s">
        <v>169</v>
      </c>
    </row>
    <row r="50" spans="1:7" ht="60">
      <c r="A50" s="25" t="s">
        <v>102</v>
      </c>
      <c r="B50" s="6" t="s">
        <v>101</v>
      </c>
      <c r="C50" s="5" t="s">
        <v>0</v>
      </c>
      <c r="D50" s="5">
        <v>649</v>
      </c>
      <c r="E50" s="5">
        <v>0</v>
      </c>
      <c r="F50" s="9">
        <f t="shared" si="0"/>
        <v>-100</v>
      </c>
      <c r="G50" s="17" t="s">
        <v>169</v>
      </c>
    </row>
    <row r="51" spans="1:7">
      <c r="A51" s="31">
        <v>6</v>
      </c>
      <c r="B51" s="32" t="s">
        <v>100</v>
      </c>
      <c r="C51" s="5" t="s">
        <v>0</v>
      </c>
      <c r="D51" s="30">
        <f>D53+D62+D63+D64+D65+D66</f>
        <v>43978</v>
      </c>
      <c r="E51" s="30">
        <f>E53+E62+E63+E64+E65+E66+E67</f>
        <v>18678.334000000003</v>
      </c>
      <c r="F51" s="9">
        <f t="shared" si="0"/>
        <v>-57.528004911546674</v>
      </c>
      <c r="G51" s="8"/>
    </row>
    <row r="52" spans="1:7">
      <c r="A52" s="7"/>
      <c r="B52" s="28" t="s">
        <v>5</v>
      </c>
      <c r="C52" s="11"/>
      <c r="D52" s="10"/>
      <c r="E52" s="10"/>
      <c r="F52" s="9"/>
      <c r="G52" s="8"/>
    </row>
    <row r="53" spans="1:7" ht="48.75">
      <c r="A53" s="25" t="s">
        <v>99</v>
      </c>
      <c r="B53" s="6" t="s">
        <v>98</v>
      </c>
      <c r="C53" s="10" t="s">
        <v>0</v>
      </c>
      <c r="D53" s="27">
        <v>16164</v>
      </c>
      <c r="E53" s="27">
        <f>E54+E55+E56+E57+E58+E59+E60+E61</f>
        <v>5646.6610000000001</v>
      </c>
      <c r="F53" s="9">
        <f t="shared" ref="F53:F66" si="1">E53/D53*100-100</f>
        <v>-65.066437762929965</v>
      </c>
      <c r="G53" s="17" t="s">
        <v>163</v>
      </c>
    </row>
    <row r="54" spans="1:7" ht="48.75" hidden="1">
      <c r="A54" s="25"/>
      <c r="B54" s="35" t="s">
        <v>97</v>
      </c>
      <c r="C54" s="10"/>
      <c r="D54" s="36">
        <v>8842</v>
      </c>
      <c r="E54" s="36">
        <v>3351.3789999999999</v>
      </c>
      <c r="F54" s="9">
        <f t="shared" si="1"/>
        <v>-62.097048179144991</v>
      </c>
      <c r="G54" s="17" t="s">
        <v>163</v>
      </c>
    </row>
    <row r="55" spans="1:7" ht="48.75" hidden="1">
      <c r="A55" s="25"/>
      <c r="B55" s="35" t="s">
        <v>96</v>
      </c>
      <c r="C55" s="10"/>
      <c r="D55" s="36">
        <v>504</v>
      </c>
      <c r="E55" s="36"/>
      <c r="F55" s="9">
        <f t="shared" si="1"/>
        <v>-100</v>
      </c>
      <c r="G55" s="17" t="s">
        <v>163</v>
      </c>
    </row>
    <row r="56" spans="1:7" ht="48.75" hidden="1">
      <c r="A56" s="25"/>
      <c r="B56" s="35" t="s">
        <v>95</v>
      </c>
      <c r="C56" s="10"/>
      <c r="D56" s="36">
        <v>172</v>
      </c>
      <c r="E56" s="36"/>
      <c r="F56" s="9">
        <f t="shared" si="1"/>
        <v>-100</v>
      </c>
      <c r="G56" s="17" t="s">
        <v>163</v>
      </c>
    </row>
    <row r="57" spans="1:7" ht="48.75" hidden="1">
      <c r="A57" s="25"/>
      <c r="B57" s="35" t="s">
        <v>94</v>
      </c>
      <c r="C57" s="10"/>
      <c r="D57" s="36">
        <v>801</v>
      </c>
      <c r="E57" s="36">
        <f>1.59+1.38</f>
        <v>2.9699999999999998</v>
      </c>
      <c r="F57" s="9">
        <f t="shared" si="1"/>
        <v>-99.629213483146074</v>
      </c>
      <c r="G57" s="17" t="s">
        <v>163</v>
      </c>
    </row>
    <row r="58" spans="1:7" ht="48.75" hidden="1">
      <c r="A58" s="25"/>
      <c r="B58" s="35" t="s">
        <v>93</v>
      </c>
      <c r="C58" s="10"/>
      <c r="D58" s="36">
        <f>[1]спецпитание!$G$7</f>
        <v>1581.1200000000001</v>
      </c>
      <c r="E58" s="36">
        <v>501.96300000000002</v>
      </c>
      <c r="F58" s="9">
        <f t="shared" si="1"/>
        <v>-68.252694292653302</v>
      </c>
      <c r="G58" s="17" t="s">
        <v>163</v>
      </c>
    </row>
    <row r="59" spans="1:7" ht="48.75" hidden="1">
      <c r="A59" s="25"/>
      <c r="B59" s="35" t="s">
        <v>92</v>
      </c>
      <c r="C59" s="10"/>
      <c r="D59" s="36">
        <f>'[1]аттестация рабочих мест'!$E$5</f>
        <v>1912</v>
      </c>
      <c r="E59" s="36">
        <f>625+210+30</f>
        <v>865</v>
      </c>
      <c r="F59" s="9">
        <f t="shared" si="1"/>
        <v>-54.75941422594142</v>
      </c>
      <c r="G59" s="17" t="s">
        <v>163</v>
      </c>
    </row>
    <row r="60" spans="1:7" ht="48.75" hidden="1">
      <c r="A60" s="25"/>
      <c r="B60" s="35" t="s">
        <v>91</v>
      </c>
      <c r="C60" s="10"/>
      <c r="D60" s="36">
        <f>'[1]услуги противпожар безопас'!$F$10</f>
        <v>52.137</v>
      </c>
      <c r="E60" s="36">
        <f>65.028+72.321</f>
        <v>137.34899999999999</v>
      </c>
      <c r="F60" s="9">
        <f t="shared" si="1"/>
        <v>163.43863283272913</v>
      </c>
      <c r="G60" s="17" t="s">
        <v>163</v>
      </c>
    </row>
    <row r="61" spans="1:7" ht="48.75" hidden="1">
      <c r="A61" s="25"/>
      <c r="B61" s="35" t="s">
        <v>90</v>
      </c>
      <c r="C61" s="10"/>
      <c r="D61" s="36">
        <f>[1]промбезопасность!$C$7</f>
        <v>2300</v>
      </c>
      <c r="E61" s="36">
        <v>788</v>
      </c>
      <c r="F61" s="9">
        <f t="shared" si="1"/>
        <v>-65.739130434782609</v>
      </c>
      <c r="G61" s="17" t="s">
        <v>163</v>
      </c>
    </row>
    <row r="62" spans="1:7" ht="48.75">
      <c r="A62" s="25" t="s">
        <v>89</v>
      </c>
      <c r="B62" s="26" t="s">
        <v>39</v>
      </c>
      <c r="C62" s="10" t="s">
        <v>0</v>
      </c>
      <c r="D62" s="27">
        <v>19124</v>
      </c>
      <c r="E62" s="40">
        <v>8680.6</v>
      </c>
      <c r="F62" s="9">
        <f t="shared" si="1"/>
        <v>-54.608868437565363</v>
      </c>
      <c r="G62" s="17" t="s">
        <v>163</v>
      </c>
    </row>
    <row r="63" spans="1:7" ht="48.75">
      <c r="A63" s="25" t="s">
        <v>88</v>
      </c>
      <c r="B63" s="26" t="s">
        <v>43</v>
      </c>
      <c r="C63" s="10" t="s">
        <v>0</v>
      </c>
      <c r="D63" s="27">
        <v>3450</v>
      </c>
      <c r="E63" s="27">
        <v>845.745</v>
      </c>
      <c r="F63" s="9">
        <f t="shared" si="1"/>
        <v>-75.485652173913039</v>
      </c>
      <c r="G63" s="17" t="s">
        <v>163</v>
      </c>
    </row>
    <row r="64" spans="1:7" ht="48.75">
      <c r="A64" s="25" t="s">
        <v>87</v>
      </c>
      <c r="B64" s="26" t="s">
        <v>63</v>
      </c>
      <c r="C64" s="5" t="s">
        <v>0</v>
      </c>
      <c r="D64" s="27">
        <v>1947</v>
      </c>
      <c r="E64" s="27">
        <f>178.49+307.469+190.89+282.093+28.095</f>
        <v>987.03700000000003</v>
      </c>
      <c r="F64" s="9">
        <f t="shared" si="1"/>
        <v>-49.304725218284538</v>
      </c>
      <c r="G64" s="17" t="s">
        <v>163</v>
      </c>
    </row>
    <row r="65" spans="1:8" ht="48.75">
      <c r="A65" s="25" t="s">
        <v>86</v>
      </c>
      <c r="B65" s="6" t="s">
        <v>47</v>
      </c>
      <c r="C65" s="10" t="s">
        <v>0</v>
      </c>
      <c r="D65" s="27">
        <v>1279</v>
      </c>
      <c r="E65" s="27">
        <v>811.61400000000003</v>
      </c>
      <c r="F65" s="9">
        <f t="shared" si="1"/>
        <v>-36.54308053166536</v>
      </c>
      <c r="G65" s="17" t="s">
        <v>163</v>
      </c>
    </row>
    <row r="66" spans="1:8" ht="48.75">
      <c r="A66" s="25" t="s">
        <v>85</v>
      </c>
      <c r="B66" s="26" t="s">
        <v>84</v>
      </c>
      <c r="C66" s="10" t="s">
        <v>0</v>
      </c>
      <c r="D66" s="27">
        <v>2014</v>
      </c>
      <c r="E66" s="27">
        <v>205</v>
      </c>
      <c r="F66" s="9">
        <f t="shared" si="1"/>
        <v>-89.821251241310819</v>
      </c>
      <c r="G66" s="17" t="s">
        <v>169</v>
      </c>
    </row>
    <row r="67" spans="1:8" ht="45" hidden="1">
      <c r="A67" s="25" t="s">
        <v>83</v>
      </c>
      <c r="B67" s="41" t="s">
        <v>82</v>
      </c>
      <c r="C67" s="10"/>
      <c r="D67" s="27"/>
      <c r="E67" s="27">
        <f>1430.187+71.49</f>
        <v>1501.6769999999999</v>
      </c>
      <c r="F67" s="9"/>
      <c r="G67" s="8"/>
    </row>
    <row r="68" spans="1:8">
      <c r="A68" s="31" t="s">
        <v>81</v>
      </c>
      <c r="B68" s="32" t="s">
        <v>80</v>
      </c>
      <c r="C68" s="10" t="s">
        <v>0</v>
      </c>
      <c r="D68" s="30">
        <f>D69</f>
        <v>775438</v>
      </c>
      <c r="E68" s="30">
        <f>E69</f>
        <v>363335.51539999997</v>
      </c>
      <c r="F68" s="9">
        <f>E68/D68*100-100</f>
        <v>-53.144478939644436</v>
      </c>
      <c r="G68" s="8"/>
    </row>
    <row r="69" spans="1:8" ht="28.5">
      <c r="A69" s="25">
        <v>7</v>
      </c>
      <c r="B69" s="19" t="s">
        <v>79</v>
      </c>
      <c r="C69" s="5" t="s">
        <v>0</v>
      </c>
      <c r="D69" s="24">
        <f>D71+D75+D76+D77+D78+D79+D80+D81+D82+D83</f>
        <v>775438</v>
      </c>
      <c r="E69" s="24">
        <f>E71+E75+E76+E77+E78+E79+E80+E81+E82+E83</f>
        <v>363335.51539999997</v>
      </c>
      <c r="F69" s="9">
        <f>E69/D69*100-100</f>
        <v>-53.144478939644436</v>
      </c>
      <c r="G69" s="8"/>
      <c r="H69" s="57"/>
    </row>
    <row r="70" spans="1:8">
      <c r="A70" s="7"/>
      <c r="B70" s="28" t="s">
        <v>5</v>
      </c>
      <c r="C70" s="11"/>
      <c r="D70" s="10"/>
      <c r="E70" s="10"/>
      <c r="F70" s="9"/>
      <c r="G70" s="8"/>
    </row>
    <row r="71" spans="1:8">
      <c r="A71" s="42" t="s">
        <v>78</v>
      </c>
      <c r="B71" s="39" t="s">
        <v>77</v>
      </c>
      <c r="C71" s="10" t="s">
        <v>0</v>
      </c>
      <c r="D71" s="27">
        <f>D73+D74</f>
        <v>122249</v>
      </c>
      <c r="E71" s="27">
        <f>E73+E74</f>
        <v>60113.321400000001</v>
      </c>
      <c r="F71" s="9">
        <f>E71/D71*100-100</f>
        <v>-50.827146725126589</v>
      </c>
      <c r="G71" s="8"/>
    </row>
    <row r="72" spans="1:8">
      <c r="A72" s="7"/>
      <c r="B72" s="28" t="s">
        <v>5</v>
      </c>
      <c r="C72" s="11"/>
      <c r="D72" s="5"/>
      <c r="E72" s="5"/>
      <c r="F72" s="9"/>
      <c r="G72" s="8"/>
    </row>
    <row r="73" spans="1:8" ht="48.75">
      <c r="A73" s="25" t="s">
        <v>76</v>
      </c>
      <c r="B73" s="26" t="s">
        <v>75</v>
      </c>
      <c r="C73" s="5" t="s">
        <v>0</v>
      </c>
      <c r="D73" s="27">
        <v>111237</v>
      </c>
      <c r="E73" s="40">
        <f>58870.6-4131.507</f>
        <v>54739.093000000001</v>
      </c>
      <c r="F73" s="9">
        <f t="shared" ref="F73:F83" si="2">E73/D73*100-100</f>
        <v>-50.790570583528861</v>
      </c>
      <c r="G73" s="17" t="s">
        <v>169</v>
      </c>
    </row>
    <row r="74" spans="1:8" ht="48.75">
      <c r="A74" s="25" t="s">
        <v>74</v>
      </c>
      <c r="B74" s="26" t="s">
        <v>73</v>
      </c>
      <c r="C74" s="5" t="s">
        <v>0</v>
      </c>
      <c r="D74" s="27">
        <v>11012</v>
      </c>
      <c r="E74" s="40">
        <f>58870.6*0.099-453.961</f>
        <v>5374.2284</v>
      </c>
      <c r="F74" s="9">
        <f t="shared" si="2"/>
        <v>-51.196618234653108</v>
      </c>
      <c r="G74" s="17" t="s">
        <v>169</v>
      </c>
    </row>
    <row r="75" spans="1:8" ht="48.75">
      <c r="A75" s="42" t="s">
        <v>72</v>
      </c>
      <c r="B75" s="26" t="s">
        <v>71</v>
      </c>
      <c r="C75" s="10" t="s">
        <v>0</v>
      </c>
      <c r="D75" s="27">
        <v>21720</v>
      </c>
      <c r="E75" s="27">
        <v>10565.758</v>
      </c>
      <c r="F75" s="9">
        <f t="shared" si="2"/>
        <v>-51.354705340699816</v>
      </c>
      <c r="G75" s="17" t="s">
        <v>169</v>
      </c>
    </row>
    <row r="76" spans="1:8" ht="48.75">
      <c r="A76" s="42" t="s">
        <v>70</v>
      </c>
      <c r="B76" s="6" t="s">
        <v>69</v>
      </c>
      <c r="C76" s="10" t="s">
        <v>0</v>
      </c>
      <c r="D76" s="27">
        <v>578225</v>
      </c>
      <c r="E76" s="27">
        <f>653.116+35.566+264260.35+285.846+299.146+1850.065</f>
        <v>267384.08899999998</v>
      </c>
      <c r="F76" s="9">
        <f t="shared" si="2"/>
        <v>-53.757777854641361</v>
      </c>
      <c r="G76" s="17" t="s">
        <v>169</v>
      </c>
    </row>
    <row r="77" spans="1:8" ht="48.75">
      <c r="A77" s="42" t="s">
        <v>68</v>
      </c>
      <c r="B77" s="6" t="s">
        <v>67</v>
      </c>
      <c r="C77" s="10" t="s">
        <v>0</v>
      </c>
      <c r="D77" s="27">
        <v>1350</v>
      </c>
      <c r="E77" s="27">
        <f>78.46+55.681+0.79</f>
        <v>134.93099999999998</v>
      </c>
      <c r="F77" s="9">
        <f t="shared" si="2"/>
        <v>-90.00511111111112</v>
      </c>
      <c r="G77" s="17" t="s">
        <v>169</v>
      </c>
    </row>
    <row r="78" spans="1:8" ht="48.75">
      <c r="A78" s="42" t="s">
        <v>66</v>
      </c>
      <c r="B78" s="6" t="s">
        <v>65</v>
      </c>
      <c r="C78" s="10" t="s">
        <v>0</v>
      </c>
      <c r="D78" s="27">
        <v>5213</v>
      </c>
      <c r="E78" s="27">
        <f>185.423+48+696.381+295.755+458.752</f>
        <v>1684.3109999999999</v>
      </c>
      <c r="F78" s="9">
        <f t="shared" si="2"/>
        <v>-67.690178400153457</v>
      </c>
      <c r="G78" s="17" t="s">
        <v>169</v>
      </c>
    </row>
    <row r="79" spans="1:8" ht="48.75">
      <c r="A79" s="25" t="s">
        <v>64</v>
      </c>
      <c r="B79" s="26" t="s">
        <v>63</v>
      </c>
      <c r="C79" s="5" t="s">
        <v>0</v>
      </c>
      <c r="D79" s="27">
        <v>1180</v>
      </c>
      <c r="E79" s="27">
        <f>118.9+183.119+95.445+74.235</f>
        <v>471.69900000000001</v>
      </c>
      <c r="F79" s="9">
        <f t="shared" si="2"/>
        <v>-60.02550847457627</v>
      </c>
      <c r="G79" s="17" t="s">
        <v>169</v>
      </c>
    </row>
    <row r="80" spans="1:8" ht="48.75">
      <c r="A80" s="42" t="s">
        <v>62</v>
      </c>
      <c r="B80" s="26" t="s">
        <v>61</v>
      </c>
      <c r="C80" s="10" t="s">
        <v>0</v>
      </c>
      <c r="D80" s="27">
        <v>2060</v>
      </c>
      <c r="E80" s="27">
        <f>978.063-0.819</f>
        <v>977.24400000000003</v>
      </c>
      <c r="F80" s="9">
        <f t="shared" si="2"/>
        <v>-52.560970873786403</v>
      </c>
      <c r="G80" s="17" t="s">
        <v>169</v>
      </c>
    </row>
    <row r="81" spans="1:7" ht="48.75">
      <c r="A81" s="25" t="s">
        <v>60</v>
      </c>
      <c r="B81" s="26" t="s">
        <v>59</v>
      </c>
      <c r="C81" s="5" t="s">
        <v>0</v>
      </c>
      <c r="D81" s="27">
        <v>6090</v>
      </c>
      <c r="E81" s="40">
        <f>2800+39.593+1350.3+119.048+400.973</f>
        <v>4709.9139999999998</v>
      </c>
      <c r="F81" s="9">
        <f t="shared" si="2"/>
        <v>-22.661510673234815</v>
      </c>
      <c r="G81" s="17" t="s">
        <v>169</v>
      </c>
    </row>
    <row r="82" spans="1:7" ht="48.75">
      <c r="A82" s="42" t="s">
        <v>58</v>
      </c>
      <c r="B82" s="26" t="s">
        <v>57</v>
      </c>
      <c r="C82" s="10" t="s">
        <v>0</v>
      </c>
      <c r="D82" s="27">
        <v>2427</v>
      </c>
      <c r="E82" s="27">
        <v>1560.498</v>
      </c>
      <c r="F82" s="9">
        <f t="shared" si="2"/>
        <v>-35.702595797280594</v>
      </c>
      <c r="G82" s="17" t="s">
        <v>169</v>
      </c>
    </row>
    <row r="83" spans="1:7">
      <c r="A83" s="42" t="s">
        <v>56</v>
      </c>
      <c r="B83" s="39" t="s">
        <v>55</v>
      </c>
      <c r="C83" s="10" t="s">
        <v>0</v>
      </c>
      <c r="D83" s="27">
        <f>D85+D86+D87+D88+D89+D90+D91+D92+D93+D94+D95+D96</f>
        <v>34924</v>
      </c>
      <c r="E83" s="27">
        <f>E85+E86+E87+E88+E89+E90+E91+E92+E93+E94+E95+E96</f>
        <v>15733.75</v>
      </c>
      <c r="F83" s="9">
        <f t="shared" si="2"/>
        <v>-54.948602680105374</v>
      </c>
      <c r="G83" s="8"/>
    </row>
    <row r="84" spans="1:7">
      <c r="A84" s="7"/>
      <c r="B84" s="28" t="s">
        <v>5</v>
      </c>
      <c r="C84" s="10" t="s">
        <v>0</v>
      </c>
      <c r="D84" s="5"/>
      <c r="E84" s="5"/>
      <c r="F84" s="9"/>
      <c r="G84" s="8"/>
    </row>
    <row r="85" spans="1:7" ht="48.75">
      <c r="A85" s="42" t="s">
        <v>54</v>
      </c>
      <c r="B85" s="49" t="s">
        <v>53</v>
      </c>
      <c r="C85" s="10" t="s">
        <v>0</v>
      </c>
      <c r="D85" s="27">
        <v>16962</v>
      </c>
      <c r="E85" s="27">
        <v>8032.2430000000004</v>
      </c>
      <c r="F85" s="9">
        <f t="shared" ref="F85:F100" si="3">E85/D85*100-100</f>
        <v>-52.645660889046106</v>
      </c>
      <c r="G85" s="17" t="s">
        <v>169</v>
      </c>
    </row>
    <row r="86" spans="1:7" ht="48.75">
      <c r="A86" s="25" t="s">
        <v>52</v>
      </c>
      <c r="B86" s="49" t="s">
        <v>51</v>
      </c>
      <c r="C86" s="5" t="s">
        <v>0</v>
      </c>
      <c r="D86" s="27">
        <v>2714</v>
      </c>
      <c r="E86" s="27">
        <f>460.457+443.4</f>
        <v>903.85699999999997</v>
      </c>
      <c r="F86" s="9">
        <f t="shared" si="3"/>
        <v>-66.696499631540163</v>
      </c>
      <c r="G86" s="17" t="s">
        <v>169</v>
      </c>
    </row>
    <row r="87" spans="1:7" ht="48.75">
      <c r="A87" s="42" t="s">
        <v>50</v>
      </c>
      <c r="B87" s="49" t="s">
        <v>49</v>
      </c>
      <c r="C87" s="10" t="s">
        <v>0</v>
      </c>
      <c r="D87" s="27">
        <v>5304</v>
      </c>
      <c r="E87" s="27">
        <v>2651.7849999999999</v>
      </c>
      <c r="F87" s="9">
        <f t="shared" si="3"/>
        <v>-50.004053544494724</v>
      </c>
      <c r="G87" s="17" t="s">
        <v>169</v>
      </c>
    </row>
    <row r="88" spans="1:7" ht="48.75">
      <c r="A88" s="42" t="s">
        <v>48</v>
      </c>
      <c r="B88" s="49" t="s">
        <v>47</v>
      </c>
      <c r="C88" s="10" t="s">
        <v>0</v>
      </c>
      <c r="D88" s="5">
        <v>600</v>
      </c>
      <c r="E88" s="38">
        <v>499.79199999999997</v>
      </c>
      <c r="F88" s="9">
        <f t="shared" si="3"/>
        <v>-16.701333333333338</v>
      </c>
      <c r="G88" s="17" t="s">
        <v>169</v>
      </c>
    </row>
    <row r="89" spans="1:7" ht="48.75">
      <c r="A89" s="42" t="s">
        <v>46</v>
      </c>
      <c r="B89" s="49" t="s">
        <v>45</v>
      </c>
      <c r="C89" s="10" t="s">
        <v>0</v>
      </c>
      <c r="D89" s="5">
        <v>295</v>
      </c>
      <c r="E89" s="38">
        <v>109.577</v>
      </c>
      <c r="F89" s="9">
        <f t="shared" si="3"/>
        <v>-62.855254237288136</v>
      </c>
      <c r="G89" s="17" t="s">
        <v>169</v>
      </c>
    </row>
    <row r="90" spans="1:7" ht="48.75">
      <c r="A90" s="42" t="s">
        <v>44</v>
      </c>
      <c r="B90" s="49" t="s">
        <v>43</v>
      </c>
      <c r="C90" s="10" t="s">
        <v>0</v>
      </c>
      <c r="D90" s="5">
        <v>877</v>
      </c>
      <c r="E90" s="5">
        <v>205</v>
      </c>
      <c r="F90" s="9">
        <f t="shared" si="3"/>
        <v>-76.6248574686431</v>
      </c>
      <c r="G90" s="17" t="s">
        <v>169</v>
      </c>
    </row>
    <row r="91" spans="1:7" ht="48.75">
      <c r="A91" s="42" t="s">
        <v>42</v>
      </c>
      <c r="B91" s="49" t="s">
        <v>41</v>
      </c>
      <c r="C91" s="10" t="s">
        <v>0</v>
      </c>
      <c r="D91" s="5">
        <v>218</v>
      </c>
      <c r="E91" s="5">
        <v>0</v>
      </c>
      <c r="F91" s="9">
        <f t="shared" si="3"/>
        <v>-100</v>
      </c>
      <c r="G91" s="17" t="s">
        <v>169</v>
      </c>
    </row>
    <row r="92" spans="1:7" ht="48.75">
      <c r="A92" s="42" t="s">
        <v>40</v>
      </c>
      <c r="B92" s="50" t="s">
        <v>39</v>
      </c>
      <c r="C92" s="10" t="s">
        <v>0</v>
      </c>
      <c r="D92" s="27">
        <v>1620</v>
      </c>
      <c r="E92" s="40">
        <v>904.98099999999999</v>
      </c>
      <c r="F92" s="9">
        <f t="shared" si="3"/>
        <v>-44.136975308641979</v>
      </c>
      <c r="G92" s="17" t="s">
        <v>169</v>
      </c>
    </row>
    <row r="93" spans="1:7" ht="48.75">
      <c r="A93" s="42" t="s">
        <v>38</v>
      </c>
      <c r="B93" s="49" t="s">
        <v>37</v>
      </c>
      <c r="C93" s="10" t="s">
        <v>0</v>
      </c>
      <c r="D93" s="5">
        <v>372</v>
      </c>
      <c r="E93" s="38">
        <v>97.019000000000005</v>
      </c>
      <c r="F93" s="9">
        <f t="shared" si="3"/>
        <v>-73.919623655913981</v>
      </c>
      <c r="G93" s="17" t="s">
        <v>169</v>
      </c>
    </row>
    <row r="94" spans="1:7" ht="48.75">
      <c r="A94" s="25" t="s">
        <v>36</v>
      </c>
      <c r="B94" s="49" t="s">
        <v>35</v>
      </c>
      <c r="C94" s="5" t="s">
        <v>0</v>
      </c>
      <c r="D94" s="27">
        <v>5178</v>
      </c>
      <c r="E94" s="27">
        <f>1914.099+15.7+114.625</f>
        <v>2044.424</v>
      </c>
      <c r="F94" s="9">
        <f t="shared" si="3"/>
        <v>-60.517110853611435</v>
      </c>
      <c r="G94" s="17" t="s">
        <v>169</v>
      </c>
    </row>
    <row r="95" spans="1:7" ht="48.75">
      <c r="A95" s="25" t="s">
        <v>34</v>
      </c>
      <c r="B95" s="49" t="s">
        <v>33</v>
      </c>
      <c r="C95" s="5" t="s">
        <v>0</v>
      </c>
      <c r="D95" s="5">
        <v>709</v>
      </c>
      <c r="E95" s="5">
        <v>267.27199999999999</v>
      </c>
      <c r="F95" s="9">
        <f t="shared" si="3"/>
        <v>-62.30296191819464</v>
      </c>
      <c r="G95" s="17" t="s">
        <v>169</v>
      </c>
    </row>
    <row r="96" spans="1:7" ht="48.75">
      <c r="A96" s="25" t="s">
        <v>32</v>
      </c>
      <c r="B96" s="49" t="s">
        <v>31</v>
      </c>
      <c r="C96" s="5" t="s">
        <v>0</v>
      </c>
      <c r="D96" s="5">
        <v>75</v>
      </c>
      <c r="E96" s="5">
        <v>17.8</v>
      </c>
      <c r="F96" s="9">
        <f t="shared" si="3"/>
        <v>-76.266666666666666</v>
      </c>
      <c r="G96" s="17" t="s">
        <v>169</v>
      </c>
    </row>
    <row r="97" spans="1:7" ht="48.75">
      <c r="A97" s="31" t="s">
        <v>30</v>
      </c>
      <c r="B97" s="51" t="s">
        <v>29</v>
      </c>
      <c r="C97" s="10" t="s">
        <v>0</v>
      </c>
      <c r="D97" s="43">
        <f>D7+D68+D103</f>
        <v>5323963</v>
      </c>
      <c r="E97" s="43">
        <f>E7+E68+E103</f>
        <v>2573627.6300000004</v>
      </c>
      <c r="F97" s="9">
        <f t="shared" si="3"/>
        <v>-51.659550789515244</v>
      </c>
      <c r="G97" s="17" t="s">
        <v>169</v>
      </c>
    </row>
    <row r="98" spans="1:7">
      <c r="A98" s="42" t="s">
        <v>28</v>
      </c>
      <c r="B98" s="50" t="s">
        <v>27</v>
      </c>
      <c r="C98" s="10" t="s">
        <v>0</v>
      </c>
      <c r="D98" s="44">
        <v>10000</v>
      </c>
      <c r="E98" s="44">
        <f>E99-E97</f>
        <v>274502.64999999944</v>
      </c>
      <c r="F98" s="9">
        <f t="shared" si="3"/>
        <v>2645.0264999999945</v>
      </c>
      <c r="G98" s="8"/>
    </row>
    <row r="99" spans="1:7">
      <c r="A99" s="31" t="s">
        <v>26</v>
      </c>
      <c r="B99" s="51" t="s">
        <v>25</v>
      </c>
      <c r="C99" s="10" t="s">
        <v>0</v>
      </c>
      <c r="D99" s="43">
        <v>5334133</v>
      </c>
      <c r="E99" s="43">
        <f>E100*E104/1000</f>
        <v>2848130.28</v>
      </c>
      <c r="F99" s="9">
        <f t="shared" si="3"/>
        <v>-46.605563078385934</v>
      </c>
      <c r="G99" s="8"/>
    </row>
    <row r="100" spans="1:7" ht="48.75">
      <c r="A100" s="31" t="s">
        <v>24</v>
      </c>
      <c r="B100" s="51" t="s">
        <v>23</v>
      </c>
      <c r="C100" s="45" t="s">
        <v>19</v>
      </c>
      <c r="D100" s="43">
        <v>4985130</v>
      </c>
      <c r="E100" s="43">
        <v>2661804</v>
      </c>
      <c r="F100" s="9">
        <f t="shared" si="3"/>
        <v>-46.605123637698519</v>
      </c>
      <c r="G100" s="17" t="s">
        <v>169</v>
      </c>
    </row>
    <row r="101" spans="1:7">
      <c r="A101" s="52" t="s">
        <v>22</v>
      </c>
      <c r="B101" s="53" t="s">
        <v>21</v>
      </c>
      <c r="C101" s="45" t="s">
        <v>20</v>
      </c>
      <c r="D101" s="20">
        <v>13.77</v>
      </c>
      <c r="E101" s="46">
        <v>13.81</v>
      </c>
      <c r="F101" s="9"/>
      <c r="G101" s="8"/>
    </row>
    <row r="102" spans="1:7" ht="48.75">
      <c r="A102" s="52"/>
      <c r="B102" s="53"/>
      <c r="C102" s="45" t="s">
        <v>19</v>
      </c>
      <c r="D102" s="21">
        <v>800060</v>
      </c>
      <c r="E102" s="43">
        <v>427771.75999999995</v>
      </c>
      <c r="F102" s="9">
        <f>E102/D102*100-100</f>
        <v>-46.532540059495545</v>
      </c>
      <c r="G102" s="17" t="s">
        <v>169</v>
      </c>
    </row>
    <row r="103" spans="1:7" ht="48.75">
      <c r="A103" s="52"/>
      <c r="B103" s="53"/>
      <c r="C103" s="45" t="s">
        <v>18</v>
      </c>
      <c r="D103" s="21">
        <v>1187289</v>
      </c>
      <c r="E103" s="21">
        <f>592715.283+42098.008</f>
        <v>634813.29100000008</v>
      </c>
      <c r="F103" s="9">
        <f>E103/D103*100-100</f>
        <v>-46.532538328915699</v>
      </c>
      <c r="G103" s="17" t="s">
        <v>169</v>
      </c>
    </row>
    <row r="104" spans="1:7" ht="30">
      <c r="A104" s="18" t="s">
        <v>17</v>
      </c>
      <c r="B104" s="19" t="s">
        <v>16</v>
      </c>
      <c r="C104" s="29" t="s">
        <v>15</v>
      </c>
      <c r="D104" s="21">
        <v>1070</v>
      </c>
      <c r="E104" s="21">
        <v>1070</v>
      </c>
      <c r="F104" s="4"/>
      <c r="G104" s="8"/>
    </row>
    <row r="105" spans="1:7">
      <c r="A105" s="7"/>
      <c r="B105" s="39" t="s">
        <v>14</v>
      </c>
      <c r="C105" s="29"/>
      <c r="D105" s="29"/>
      <c r="E105" s="29"/>
      <c r="F105" s="4"/>
      <c r="G105" s="8"/>
    </row>
    <row r="106" spans="1:7" ht="30">
      <c r="A106" s="25">
        <v>8</v>
      </c>
      <c r="B106" s="39" t="s">
        <v>13</v>
      </c>
      <c r="C106" s="23" t="s">
        <v>12</v>
      </c>
      <c r="D106" s="23">
        <v>685</v>
      </c>
      <c r="E106" s="23">
        <f>E108+E109</f>
        <v>685</v>
      </c>
      <c r="F106" s="16">
        <f>E106/D106*100-100</f>
        <v>0</v>
      </c>
      <c r="G106" s="8"/>
    </row>
    <row r="107" spans="1:7">
      <c r="A107" s="7"/>
      <c r="B107" s="28" t="s">
        <v>5</v>
      </c>
      <c r="C107" s="23"/>
      <c r="D107" s="23"/>
      <c r="E107" s="23"/>
      <c r="F107" s="4"/>
      <c r="G107" s="8"/>
    </row>
    <row r="108" spans="1:7">
      <c r="A108" s="42" t="s">
        <v>11</v>
      </c>
      <c r="B108" s="39" t="s">
        <v>10</v>
      </c>
      <c r="C108" s="5" t="s">
        <v>0</v>
      </c>
      <c r="D108" s="47">
        <v>636</v>
      </c>
      <c r="E108" s="47">
        <v>636</v>
      </c>
      <c r="F108" s="16">
        <f>E108/D108*100-100</f>
        <v>0</v>
      </c>
      <c r="G108" s="8"/>
    </row>
    <row r="109" spans="1:7">
      <c r="A109" s="42" t="s">
        <v>9</v>
      </c>
      <c r="B109" s="39" t="s">
        <v>8</v>
      </c>
      <c r="C109" s="5" t="s">
        <v>0</v>
      </c>
      <c r="D109" s="23">
        <v>49</v>
      </c>
      <c r="E109" s="23">
        <v>49</v>
      </c>
      <c r="F109" s="9">
        <f>E109/D109*100-100</f>
        <v>0</v>
      </c>
      <c r="G109" s="8"/>
    </row>
    <row r="110" spans="1:7" ht="30">
      <c r="A110" s="25">
        <v>9</v>
      </c>
      <c r="B110" s="39" t="s">
        <v>7</v>
      </c>
      <c r="C110" s="23" t="s">
        <v>6</v>
      </c>
      <c r="D110" s="48">
        <v>141393</v>
      </c>
      <c r="E110" s="48">
        <f>(E16+E73)/6/E106*1000</f>
        <v>136124.69416058395</v>
      </c>
      <c r="F110" s="9">
        <f>E110/D110*100-100</f>
        <v>-3.7260018808682531</v>
      </c>
      <c r="G110" s="8"/>
    </row>
    <row r="111" spans="1:7">
      <c r="A111" s="7"/>
      <c r="B111" s="28" t="s">
        <v>5</v>
      </c>
      <c r="C111" s="6"/>
      <c r="D111" s="23"/>
      <c r="E111" s="23"/>
      <c r="F111" s="4"/>
      <c r="G111" s="8"/>
    </row>
    <row r="112" spans="1:7">
      <c r="A112" s="42" t="s">
        <v>4</v>
      </c>
      <c r="B112" s="39" t="s">
        <v>3</v>
      </c>
      <c r="C112" s="5" t="s">
        <v>0</v>
      </c>
      <c r="D112" s="48">
        <v>137712</v>
      </c>
      <c r="E112" s="48">
        <f>E16/E108/6*1000</f>
        <v>132267.66247379457</v>
      </c>
      <c r="F112" s="9">
        <f>E112/D112*100-100</f>
        <v>-3.9534227418129433</v>
      </c>
      <c r="G112" s="8"/>
    </row>
    <row r="113" spans="1:7">
      <c r="A113" s="42" t="s">
        <v>2</v>
      </c>
      <c r="B113" s="39" t="s">
        <v>1</v>
      </c>
      <c r="C113" s="5" t="s">
        <v>0</v>
      </c>
      <c r="D113" s="48">
        <v>189179</v>
      </c>
      <c r="E113" s="48">
        <f>E73/6/E109*1000</f>
        <v>186187.3911564626</v>
      </c>
      <c r="F113" s="9">
        <f>E113/D113*100-100</f>
        <v>-1.5813641279092252</v>
      </c>
      <c r="G113" s="8"/>
    </row>
  </sheetData>
  <mergeCells count="10">
    <mergeCell ref="A101:A103"/>
    <mergeCell ref="B101:B103"/>
    <mergeCell ref="G5:G6"/>
    <mergeCell ref="F5:F6"/>
    <mergeCell ref="A2:G2"/>
    <mergeCell ref="A5:A6"/>
    <mergeCell ref="B5:B6"/>
    <mergeCell ref="C5:C6"/>
    <mergeCell ref="D5:D6"/>
    <mergeCell ref="E5:E6"/>
  </mergeCells>
  <pageMargins left="0.51181102362204722" right="0.15748031496062992" top="0.31496062992125984" bottom="0.35433070866141736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 ТС для сайта</vt:lpstr>
      <vt:lpstr>'испол ТС для сайта'!_GoBack</vt:lpstr>
    </vt:vector>
  </TitlesOfParts>
  <Company>tranzit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ZHakypbekova</cp:lastModifiedBy>
  <cp:lastPrinted>2016-07-18T11:19:55Z</cp:lastPrinted>
  <dcterms:created xsi:type="dcterms:W3CDTF">2016-07-18T05:26:45Z</dcterms:created>
  <dcterms:modified xsi:type="dcterms:W3CDTF">2016-07-19T09:04:48Z</dcterms:modified>
</cp:coreProperties>
</file>